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alias/Desktop/"/>
    </mc:Choice>
  </mc:AlternateContent>
  <xr:revisionPtr revIDLastSave="0" documentId="13_ncr:1_{23947A6C-7051-D74E-B603-DE894ADE11EE}" xr6:coauthVersionLast="43" xr6:coauthVersionMax="43" xr10:uidLastSave="{00000000-0000-0000-0000-000000000000}"/>
  <bookViews>
    <workbookView xWindow="0" yWindow="460" windowWidth="28800" windowHeight="16440" xr2:uid="{00000000-000D-0000-FFFF-FFFF00000000}"/>
  </bookViews>
  <sheets>
    <sheet name="Прайс-Лист" sheetId="3" r:id="rId1"/>
    <sheet name="cash" sheetId="1" state="hidden" r:id="rId2"/>
    <sheet name="Яндекс-Прайс" sheetId="2" state="hidden" r:id="rId3"/>
  </sheets>
  <definedNames>
    <definedName name="_xlnm._FilterDatabase" localSheetId="0" hidden="1">'Прайс-Лист'!$B$11:$B$38</definedName>
    <definedName name="_xlnm._FilterDatabase" localSheetId="1" hidden="1">cash!$D$1:$D$130</definedName>
  </definedNames>
  <calcPr calcId="191029"/>
</workbook>
</file>

<file path=xl/calcChain.xml><?xml version="1.0" encoding="utf-8"?>
<calcChain xmlns="http://schemas.openxmlformats.org/spreadsheetml/2006/main">
  <c r="D182" i="2" l="1"/>
  <c r="D181" i="2"/>
  <c r="C72" i="2"/>
  <c r="A210" i="2"/>
  <c r="B210" i="2"/>
  <c r="C210" i="2"/>
  <c r="D210" i="2"/>
  <c r="A211" i="2"/>
  <c r="B211" i="2"/>
  <c r="C211" i="2"/>
  <c r="D211" i="2"/>
  <c r="A212" i="2"/>
  <c r="B212" i="2"/>
  <c r="C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3" i="2"/>
  <c r="B3" i="2"/>
  <c r="C3" i="2"/>
  <c r="D3" i="2"/>
  <c r="A4" i="2"/>
  <c r="B4" i="2"/>
  <c r="C4" i="2"/>
  <c r="D4" i="2"/>
  <c r="A5" i="2"/>
  <c r="B5" i="2"/>
  <c r="C5" i="2"/>
  <c r="D5" i="2"/>
  <c r="A6" i="2"/>
  <c r="B6" i="2"/>
  <c r="C6" i="2"/>
  <c r="D6" i="2"/>
  <c r="A7" i="2"/>
  <c r="B7" i="2"/>
  <c r="C7" i="2"/>
  <c r="D7" i="2"/>
  <c r="A8" i="2"/>
  <c r="B8" i="2"/>
  <c r="C8" i="2"/>
  <c r="D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D72" i="2"/>
  <c r="A73" i="2"/>
  <c r="B73" i="2"/>
  <c r="C73" i="2"/>
  <c r="D73" i="2"/>
  <c r="E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A118" i="2"/>
  <c r="B118" i="2"/>
  <c r="C118" i="2"/>
  <c r="D118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A176" i="2"/>
  <c r="B176" i="2"/>
  <c r="C176" i="2"/>
  <c r="D176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A182" i="2"/>
  <c r="B182" i="2"/>
  <c r="C182" i="2"/>
  <c r="D300" i="3"/>
  <c r="H177" i="3"/>
  <c r="H176" i="3"/>
  <c r="H175" i="3"/>
  <c r="H174" i="3"/>
  <c r="D176" i="3"/>
  <c r="D175" i="3"/>
  <c r="D174" i="3"/>
  <c r="D177" i="3"/>
  <c r="I84" i="3"/>
  <c r="H87" i="3"/>
  <c r="H86" i="3"/>
  <c r="H85" i="3"/>
  <c r="H84" i="3"/>
  <c r="F84" i="3"/>
  <c r="D87" i="3"/>
  <c r="D86" i="3"/>
  <c r="D85" i="3"/>
  <c r="D84" i="3"/>
  <c r="I82" i="3"/>
  <c r="I83" i="3"/>
  <c r="H82" i="3"/>
  <c r="H83" i="3"/>
  <c r="F82" i="3"/>
  <c r="F83" i="3"/>
  <c r="D82" i="3"/>
  <c r="D83" i="3"/>
  <c r="I81" i="3"/>
  <c r="I80" i="3"/>
  <c r="I79" i="3"/>
  <c r="H81" i="3"/>
  <c r="H80" i="3"/>
  <c r="H79" i="3"/>
  <c r="H78" i="3"/>
  <c r="F81" i="3"/>
  <c r="F80" i="3"/>
  <c r="F79" i="3"/>
  <c r="D81" i="3"/>
  <c r="D80" i="3"/>
  <c r="D79" i="3"/>
  <c r="I78" i="3"/>
  <c r="I77" i="3"/>
  <c r="H77" i="3"/>
  <c r="F78" i="3"/>
  <c r="F77" i="3"/>
  <c r="G77" i="3" s="1"/>
  <c r="D78" i="3"/>
  <c r="D77" i="3"/>
  <c r="D76" i="3"/>
  <c r="D61" i="2" s="1"/>
  <c r="D301" i="3" l="1"/>
  <c r="D302" i="3"/>
  <c r="D303" i="3"/>
  <c r="D304" i="3"/>
  <c r="D305" i="3"/>
  <c r="D299" i="3"/>
  <c r="D298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81" i="3"/>
  <c r="D280" i="3"/>
  <c r="H301" i="3"/>
  <c r="H302" i="3"/>
  <c r="H303" i="3"/>
  <c r="H304" i="3"/>
  <c r="H305" i="3"/>
  <c r="H300" i="3"/>
  <c r="H299" i="3"/>
  <c r="H298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81" i="3"/>
  <c r="H279" i="3"/>
  <c r="H280" i="3"/>
  <c r="D279" i="3"/>
  <c r="D274" i="3"/>
  <c r="H274" i="3"/>
  <c r="H273" i="3"/>
  <c r="H272" i="3"/>
  <c r="H267" i="3"/>
  <c r="D273" i="3"/>
  <c r="D272" i="3"/>
  <c r="D267" i="3"/>
  <c r="D266" i="3"/>
  <c r="D265" i="3"/>
  <c r="D264" i="3"/>
  <c r="D263" i="3"/>
  <c r="D262" i="3"/>
  <c r="D261" i="3"/>
  <c r="D260" i="3"/>
  <c r="D259" i="3"/>
  <c r="D257" i="3"/>
  <c r="D258" i="3"/>
  <c r="D252" i="3"/>
  <c r="H266" i="3"/>
  <c r="H258" i="3"/>
  <c r="H259" i="3"/>
  <c r="H260" i="3"/>
  <c r="H261" i="3"/>
  <c r="H262" i="3"/>
  <c r="H263" i="3"/>
  <c r="H264" i="3"/>
  <c r="H265" i="3"/>
  <c r="H257" i="3"/>
  <c r="H251" i="3"/>
  <c r="H252" i="3"/>
  <c r="H246" i="3"/>
  <c r="D251" i="3"/>
  <c r="D246" i="3"/>
  <c r="H243" i="3"/>
  <c r="H244" i="3"/>
  <c r="H245" i="3"/>
  <c r="H242" i="3"/>
  <c r="H237" i="3"/>
  <c r="F64" i="1"/>
  <c r="F65" i="1"/>
  <c r="F66" i="1"/>
  <c r="F67" i="1"/>
  <c r="F68" i="1"/>
  <c r="F69" i="1"/>
  <c r="F70" i="1"/>
  <c r="F71" i="1"/>
  <c r="F72" i="1"/>
  <c r="D243" i="3"/>
  <c r="D244" i="3"/>
  <c r="D245" i="3"/>
  <c r="D242" i="3"/>
  <c r="D235" i="3"/>
  <c r="H233" i="3"/>
  <c r="H232" i="3"/>
  <c r="I232" i="3"/>
  <c r="D237" i="3"/>
  <c r="D236" i="3"/>
  <c r="F236" i="3"/>
  <c r="H236" i="3"/>
  <c r="H235" i="3"/>
  <c r="H234" i="3"/>
  <c r="D234" i="3"/>
  <c r="D233" i="3"/>
  <c r="I233" i="3"/>
  <c r="F237" i="3"/>
  <c r="D232" i="3"/>
  <c r="D227" i="3"/>
  <c r="F227" i="3" s="1"/>
  <c r="H221" i="3"/>
  <c r="H222" i="3"/>
  <c r="H223" i="3"/>
  <c r="H224" i="3"/>
  <c r="H225" i="3"/>
  <c r="H226" i="3"/>
  <c r="H227" i="3"/>
  <c r="H220" i="3"/>
  <c r="H219" i="3"/>
  <c r="H218" i="3"/>
  <c r="H217" i="3"/>
  <c r="H206" i="3"/>
  <c r="D221" i="3"/>
  <c r="F221" i="3" s="1"/>
  <c r="D222" i="3"/>
  <c r="F222" i="3" s="1"/>
  <c r="D223" i="3"/>
  <c r="D224" i="3"/>
  <c r="F224" i="3" s="1"/>
  <c r="D225" i="3"/>
  <c r="F225" i="3" s="1"/>
  <c r="D226" i="3"/>
  <c r="F226" i="3" s="1"/>
  <c r="D220" i="3"/>
  <c r="D219" i="3"/>
  <c r="D218" i="3"/>
  <c r="D217" i="3"/>
  <c r="D205" i="3"/>
  <c r="H212" i="3"/>
  <c r="H211" i="3"/>
  <c r="D212" i="3"/>
  <c r="D211" i="3"/>
  <c r="D212" i="2" l="1"/>
  <c r="F223" i="3"/>
  <c r="H200" i="3"/>
  <c r="H198" i="3"/>
  <c r="H199" i="3"/>
  <c r="H201" i="3"/>
  <c r="H202" i="3"/>
  <c r="H203" i="3"/>
  <c r="H204" i="3"/>
  <c r="H205" i="3"/>
  <c r="H197" i="3"/>
  <c r="D206" i="3"/>
  <c r="D198" i="3"/>
  <c r="D199" i="3"/>
  <c r="D200" i="3"/>
  <c r="D201" i="3"/>
  <c r="D202" i="3"/>
  <c r="D203" i="3"/>
  <c r="D204" i="3"/>
  <c r="D197" i="3"/>
  <c r="D192" i="3"/>
  <c r="H120" i="3"/>
  <c r="I120" i="3"/>
  <c r="I119" i="3"/>
  <c r="H119" i="3"/>
  <c r="D119" i="3"/>
  <c r="D120" i="3"/>
  <c r="D183" i="3"/>
  <c r="D184" i="3"/>
  <c r="D185" i="3"/>
  <c r="D186" i="3"/>
  <c r="D187" i="3"/>
  <c r="D188" i="3"/>
  <c r="D189" i="3"/>
  <c r="D190" i="3"/>
  <c r="D191" i="3"/>
  <c r="D182" i="3"/>
  <c r="H183" i="3"/>
  <c r="H184" i="3"/>
  <c r="H185" i="3"/>
  <c r="H186" i="3"/>
  <c r="H187" i="3"/>
  <c r="H188" i="3"/>
  <c r="H189" i="3"/>
  <c r="H190" i="3"/>
  <c r="H191" i="3"/>
  <c r="H192" i="3"/>
  <c r="H182" i="3"/>
  <c r="H173" i="3"/>
  <c r="H172" i="3"/>
  <c r="D173" i="3"/>
  <c r="D172" i="3"/>
  <c r="H171" i="3"/>
  <c r="H170" i="3"/>
  <c r="D171" i="3"/>
  <c r="D170" i="3"/>
  <c r="D118" i="3"/>
  <c r="H165" i="3"/>
  <c r="H164" i="3"/>
  <c r="D165" i="3"/>
  <c r="D164" i="3"/>
  <c r="H163" i="3"/>
  <c r="D163" i="3"/>
  <c r="H162" i="3"/>
  <c r="D162" i="3"/>
  <c r="H161" i="3"/>
  <c r="H160" i="3"/>
  <c r="H159" i="3"/>
  <c r="H158" i="3"/>
  <c r="D161" i="3"/>
  <c r="D160" i="3"/>
  <c r="D159" i="3"/>
  <c r="D158" i="3"/>
  <c r="H157" i="3"/>
  <c r="D157" i="3"/>
  <c r="D156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H125" i="3"/>
  <c r="H108" i="3"/>
  <c r="D125" i="3"/>
  <c r="I118" i="3" l="1"/>
  <c r="H118" i="3"/>
  <c r="I115" i="3"/>
  <c r="H115" i="3"/>
  <c r="I117" i="3"/>
  <c r="I116" i="3"/>
  <c r="H117" i="3"/>
  <c r="H116" i="3"/>
  <c r="I114" i="3"/>
  <c r="H114" i="3"/>
  <c r="I113" i="3"/>
  <c r="H113" i="3"/>
  <c r="D115" i="3"/>
  <c r="D117" i="3"/>
  <c r="D114" i="3"/>
  <c r="D113" i="3"/>
  <c r="D116" i="3"/>
  <c r="F119" i="3"/>
  <c r="I108" i="3"/>
  <c r="I107" i="3"/>
  <c r="I106" i="3"/>
  <c r="I105" i="3"/>
  <c r="H107" i="3"/>
  <c r="H106" i="3"/>
  <c r="H105" i="3"/>
  <c r="I103" i="3"/>
  <c r="H103" i="3"/>
  <c r="I104" i="3"/>
  <c r="H104" i="3"/>
  <c r="I102" i="3"/>
  <c r="H102" i="3"/>
  <c r="D108" i="3"/>
  <c r="D107" i="3"/>
  <c r="D106" i="3"/>
  <c r="D105" i="3"/>
  <c r="F105" i="3" s="1"/>
  <c r="I97" i="3"/>
  <c r="I96" i="3"/>
  <c r="H97" i="3"/>
  <c r="H96" i="3"/>
  <c r="H95" i="3"/>
  <c r="H94" i="3"/>
  <c r="I95" i="3"/>
  <c r="I94" i="3"/>
  <c r="D103" i="3"/>
  <c r="F103" i="3" s="1"/>
  <c r="D104" i="3"/>
  <c r="F104" i="3" s="1"/>
  <c r="D102" i="3"/>
  <c r="F102" i="3" s="1"/>
  <c r="I93" i="3"/>
  <c r="I92" i="3"/>
  <c r="H93" i="3"/>
  <c r="H92" i="3"/>
  <c r="H76" i="3"/>
  <c r="D97" i="3"/>
  <c r="D96" i="3"/>
  <c r="D95" i="3"/>
  <c r="D94" i="3"/>
  <c r="D93" i="3"/>
  <c r="D92" i="3"/>
  <c r="E76" i="3"/>
  <c r="F107" i="3" l="1"/>
  <c r="F113" i="3"/>
  <c r="F114" i="3"/>
  <c r="F96" i="3"/>
  <c r="F92" i="3"/>
  <c r="F95" i="3"/>
  <c r="F117" i="3"/>
  <c r="F93" i="3"/>
  <c r="F94" i="3"/>
  <c r="F115" i="3"/>
  <c r="F116" i="3"/>
  <c r="F118" i="3"/>
  <c r="F108" i="3"/>
  <c r="F106" i="3"/>
  <c r="F97" i="3"/>
  <c r="I76" i="3"/>
  <c r="I75" i="3"/>
  <c r="I74" i="3"/>
  <c r="I73" i="3"/>
  <c r="I72" i="3"/>
  <c r="I71" i="3"/>
  <c r="H74" i="3"/>
  <c r="H75" i="3"/>
  <c r="H73" i="3"/>
  <c r="H72" i="3"/>
  <c r="H71" i="3"/>
  <c r="D75" i="3"/>
  <c r="D74" i="3"/>
  <c r="D73" i="3"/>
  <c r="D72" i="3"/>
  <c r="D71" i="3"/>
  <c r="E71" i="3" s="1"/>
  <c r="I70" i="3"/>
  <c r="I69" i="3"/>
  <c r="I68" i="3"/>
  <c r="I67" i="3"/>
  <c r="H70" i="3"/>
  <c r="H69" i="3"/>
  <c r="H68" i="3"/>
  <c r="H67" i="3"/>
  <c r="D70" i="3"/>
  <c r="E70" i="3" s="1"/>
  <c r="D69" i="3"/>
  <c r="E69" i="3" s="1"/>
  <c r="D68" i="3"/>
  <c r="E68" i="3" s="1"/>
  <c r="D67" i="3"/>
  <c r="E67" i="3" s="1"/>
  <c r="I66" i="3"/>
  <c r="I65" i="3"/>
  <c r="I64" i="3"/>
  <c r="I63" i="3"/>
  <c r="I62" i="3"/>
  <c r="I61" i="3"/>
  <c r="I60" i="3"/>
  <c r="I59" i="3"/>
  <c r="I58" i="3"/>
  <c r="H66" i="3"/>
  <c r="H65" i="3"/>
  <c r="H64" i="3"/>
  <c r="H63" i="3"/>
  <c r="H62" i="3"/>
  <c r="H61" i="3"/>
  <c r="H60" i="3"/>
  <c r="H59" i="3"/>
  <c r="H58" i="3"/>
  <c r="D65" i="3"/>
  <c r="E65" i="3" s="1"/>
  <c r="D66" i="3"/>
  <c r="E66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I57" i="3"/>
  <c r="I56" i="3"/>
  <c r="I55" i="3"/>
  <c r="I54" i="3"/>
  <c r="I53" i="3"/>
  <c r="I52" i="3"/>
  <c r="H57" i="3"/>
  <c r="H56" i="3"/>
  <c r="H55" i="3"/>
  <c r="H54" i="3"/>
  <c r="H53" i="3"/>
  <c r="H52" i="3"/>
  <c r="D57" i="3"/>
  <c r="E57" i="3" s="1"/>
  <c r="D56" i="3"/>
  <c r="E56" i="3" s="1"/>
  <c r="D55" i="3"/>
  <c r="E55" i="3" s="1"/>
  <c r="D54" i="3"/>
  <c r="E54" i="3" s="1"/>
  <c r="D53" i="3"/>
  <c r="E53" i="3" s="1"/>
  <c r="D52" i="3"/>
  <c r="E73" i="3" l="1"/>
  <c r="D58" i="2"/>
  <c r="E74" i="3"/>
  <c r="D59" i="2"/>
  <c r="E72" i="3"/>
  <c r="D57" i="2"/>
  <c r="E75" i="3"/>
  <c r="D60" i="2"/>
  <c r="C2" i="2"/>
  <c r="B2" i="2"/>
  <c r="A2" i="2"/>
  <c r="D17" i="3"/>
  <c r="D2" i="2" s="1"/>
  <c r="E52" i="3"/>
  <c r="I51" i="3"/>
  <c r="I49" i="3"/>
  <c r="I48" i="3"/>
  <c r="I47" i="3"/>
  <c r="I36" i="3"/>
  <c r="H51" i="3"/>
  <c r="H49" i="3"/>
  <c r="H48" i="3"/>
  <c r="H47" i="3"/>
  <c r="D51" i="3"/>
  <c r="E51" i="3" s="1"/>
  <c r="D49" i="3"/>
  <c r="E49" i="3" s="1"/>
  <c r="D48" i="3"/>
  <c r="D47" i="3"/>
  <c r="E47" i="3" s="1"/>
  <c r="D36" i="3"/>
  <c r="I50" i="3"/>
  <c r="I46" i="3"/>
  <c r="I45" i="3"/>
  <c r="I44" i="3"/>
  <c r="H50" i="3"/>
  <c r="H46" i="3"/>
  <c r="H45" i="3"/>
  <c r="H44" i="3"/>
  <c r="D50" i="3"/>
  <c r="E50" i="3" s="1"/>
  <c r="D46" i="3"/>
  <c r="D45" i="3"/>
  <c r="E45" i="3" s="1"/>
  <c r="D44" i="3"/>
  <c r="E44" i="3" s="1"/>
  <c r="I43" i="3"/>
  <c r="I42" i="3"/>
  <c r="I41" i="3"/>
  <c r="I40" i="3"/>
  <c r="I39" i="3"/>
  <c r="I38" i="3"/>
  <c r="I37" i="3"/>
  <c r="H43" i="3"/>
  <c r="H42" i="3"/>
  <c r="H41" i="3"/>
  <c r="H40" i="3"/>
  <c r="H39" i="3"/>
  <c r="H38" i="3"/>
  <c r="H37" i="3"/>
  <c r="D43" i="3"/>
  <c r="E43" i="3" s="1"/>
  <c r="D42" i="3"/>
  <c r="D41" i="3"/>
  <c r="D40" i="3"/>
  <c r="D39" i="3"/>
  <c r="E39" i="3" s="1"/>
  <c r="D38" i="3"/>
  <c r="E46" i="3" l="1"/>
  <c r="E48" i="3"/>
  <c r="E38" i="3"/>
  <c r="E40" i="3"/>
  <c r="E41" i="3"/>
  <c r="E42" i="3"/>
  <c r="I35" i="3"/>
  <c r="I34" i="3"/>
  <c r="I33" i="3"/>
  <c r="I32" i="3"/>
  <c r="H36" i="3"/>
  <c r="H35" i="3"/>
  <c r="H34" i="3"/>
  <c r="H33" i="3"/>
  <c r="H32" i="3"/>
  <c r="E36" i="3"/>
  <c r="D35" i="3"/>
  <c r="D34" i="3"/>
  <c r="D33" i="3"/>
  <c r="D32" i="3"/>
  <c r="D37" i="3"/>
  <c r="I31" i="3"/>
  <c r="I30" i="3"/>
  <c r="H31" i="3"/>
  <c r="H30" i="3"/>
  <c r="D31" i="3"/>
  <c r="I29" i="3"/>
  <c r="I28" i="3"/>
  <c r="I27" i="3"/>
  <c r="H29" i="3"/>
  <c r="H28" i="3"/>
  <c r="H27" i="3"/>
  <c r="H26" i="3"/>
  <c r="D30" i="3"/>
  <c r="D29" i="3"/>
  <c r="D28" i="3"/>
  <c r="D27" i="3"/>
  <c r="E5" i="1"/>
  <c r="F34" i="3" s="1"/>
  <c r="G34" i="3" s="1"/>
  <c r="E6" i="1"/>
  <c r="F17" i="3" s="1"/>
  <c r="G17" i="3" s="1"/>
  <c r="E7" i="1"/>
  <c r="F32" i="3" s="1"/>
  <c r="G32" i="3" s="1"/>
  <c r="E8" i="1"/>
  <c r="F19" i="3" s="1"/>
  <c r="G19" i="3" s="1"/>
  <c r="E9" i="1"/>
  <c r="F20" i="3" s="1"/>
  <c r="G20" i="3" s="1"/>
  <c r="E10" i="1"/>
  <c r="F29" i="3" s="1"/>
  <c r="G29" i="3" s="1"/>
  <c r="E11" i="1"/>
  <c r="E12" i="1"/>
  <c r="E13" i="1"/>
  <c r="F76" i="3"/>
  <c r="E15" i="1"/>
  <c r="E4" i="1"/>
  <c r="F21" i="3" s="1"/>
  <c r="G21" i="3" s="1"/>
  <c r="H25" i="3"/>
  <c r="H23" i="3"/>
  <c r="H22" i="3"/>
  <c r="H18" i="3"/>
  <c r="H19" i="3"/>
  <c r="H20" i="3"/>
  <c r="H17" i="3"/>
  <c r="D26" i="3"/>
  <c r="D25" i="3"/>
  <c r="D23" i="3"/>
  <c r="D22" i="3"/>
  <c r="D18" i="3"/>
  <c r="D19" i="3"/>
  <c r="D20" i="3"/>
  <c r="E17" i="3"/>
  <c r="I24" i="3"/>
  <c r="I21" i="3"/>
  <c r="H24" i="3"/>
  <c r="D24" i="3"/>
  <c r="D21" i="3"/>
  <c r="H21" i="3"/>
  <c r="I26" i="3"/>
  <c r="I25" i="3"/>
  <c r="I23" i="3"/>
  <c r="I22" i="3"/>
  <c r="I20" i="3"/>
  <c r="I19" i="3"/>
  <c r="I18" i="3"/>
  <c r="I17" i="3"/>
  <c r="E21" i="3" l="1"/>
  <c r="F18" i="3"/>
  <c r="G18" i="3" s="1"/>
  <c r="F26" i="3"/>
  <c r="G26" i="3" s="1"/>
  <c r="F30" i="3"/>
  <c r="G30" i="3" s="1"/>
  <c r="F33" i="3"/>
  <c r="G33" i="3" s="1"/>
  <c r="E29" i="3"/>
  <c r="E27" i="3"/>
  <c r="E28" i="3"/>
  <c r="E33" i="3"/>
  <c r="E19" i="3"/>
  <c r="F64" i="3"/>
  <c r="G64" i="3" s="1"/>
  <c r="F63" i="3"/>
  <c r="G63" i="3" s="1"/>
  <c r="F59" i="3"/>
  <c r="G59" i="3" s="1"/>
  <c r="F60" i="3"/>
  <c r="G60" i="3" s="1"/>
  <c r="F62" i="3"/>
  <c r="G62" i="3" s="1"/>
  <c r="F61" i="3"/>
  <c r="G61" i="3" s="1"/>
  <c r="F65" i="3"/>
  <c r="G65" i="3" s="1"/>
  <c r="F67" i="3"/>
  <c r="G67" i="3" s="1"/>
  <c r="F66" i="3"/>
  <c r="G66" i="3" s="1"/>
  <c r="E34" i="3"/>
  <c r="E18" i="3"/>
  <c r="F53" i="3"/>
  <c r="G53" i="3" s="1"/>
  <c r="F58" i="3"/>
  <c r="G58" i="3" s="1"/>
  <c r="F55" i="3"/>
  <c r="G55" i="3" s="1"/>
  <c r="F57" i="3"/>
  <c r="G57" i="3" s="1"/>
  <c r="F54" i="3"/>
  <c r="G54" i="3" s="1"/>
  <c r="F56" i="3"/>
  <c r="G56" i="3" s="1"/>
  <c r="E24" i="3"/>
  <c r="E20" i="3"/>
  <c r="F23" i="3"/>
  <c r="G23" i="3" s="1"/>
  <c r="F37" i="3"/>
  <c r="G37" i="3" s="1"/>
  <c r="E30" i="3"/>
  <c r="F27" i="3"/>
  <c r="G27" i="3" s="1"/>
  <c r="E31" i="3"/>
  <c r="E25" i="3"/>
  <c r="F52" i="3"/>
  <c r="G52" i="3" s="1"/>
  <c r="F50" i="3"/>
  <c r="G50" i="3" s="1"/>
  <c r="F46" i="3"/>
  <c r="G46" i="3" s="1"/>
  <c r="F45" i="3"/>
  <c r="G45" i="3" s="1"/>
  <c r="F51" i="3"/>
  <c r="G51" i="3" s="1"/>
  <c r="F49" i="3"/>
  <c r="G49" i="3" s="1"/>
  <c r="F48" i="3"/>
  <c r="G48" i="3" s="1"/>
  <c r="F47" i="3"/>
  <c r="G47" i="3" s="1"/>
  <c r="F36" i="3"/>
  <c r="G36" i="3" s="1"/>
  <c r="F28" i="3"/>
  <c r="G28" i="3" s="1"/>
  <c r="F31" i="3"/>
  <c r="G31" i="3" s="1"/>
  <c r="E32" i="3"/>
  <c r="F35" i="3"/>
  <c r="G35" i="3" s="1"/>
  <c r="F70" i="3"/>
  <c r="G70" i="3" s="1"/>
  <c r="F69" i="3"/>
  <c r="G69" i="3" s="1"/>
  <c r="F68" i="3"/>
  <c r="G68" i="3" s="1"/>
  <c r="F71" i="3"/>
  <c r="G71" i="3" s="1"/>
  <c r="E22" i="3"/>
  <c r="E37" i="3"/>
  <c r="E35" i="3"/>
  <c r="E23" i="3"/>
  <c r="F74" i="3"/>
  <c r="G74" i="3" s="1"/>
  <c r="F73" i="3"/>
  <c r="G73" i="3" s="1"/>
  <c r="F72" i="3"/>
  <c r="G72" i="3" s="1"/>
  <c r="F75" i="3"/>
  <c r="G75" i="3" s="1"/>
  <c r="G76" i="3"/>
  <c r="E26" i="3"/>
  <c r="F40" i="3"/>
  <c r="G40" i="3" s="1"/>
  <c r="F39" i="3"/>
  <c r="G39" i="3" s="1"/>
  <c r="F38" i="3"/>
  <c r="G38" i="3" s="1"/>
  <c r="F42" i="3"/>
  <c r="G42" i="3" s="1"/>
  <c r="F41" i="3"/>
  <c r="G41" i="3" s="1"/>
  <c r="F44" i="3"/>
  <c r="G44" i="3" s="1"/>
  <c r="F43" i="3"/>
  <c r="G43" i="3" s="1"/>
  <c r="F22" i="3"/>
  <c r="G22" i="3" s="1"/>
  <c r="F25" i="3"/>
  <c r="G25" i="3" s="1"/>
  <c r="F24" i="3"/>
  <c r="G24" i="3" s="1"/>
</calcChain>
</file>

<file path=xl/sharedStrings.xml><?xml version="1.0" encoding="utf-8"?>
<sst xmlns="http://schemas.openxmlformats.org/spreadsheetml/2006/main" count="1992" uniqueCount="572">
  <si>
    <r>
      <t xml:space="preserve"> </t>
    </r>
    <r>
      <rPr>
        <b/>
        <i/>
        <sz val="10"/>
        <color indexed="8"/>
        <rFont val="Arial Cyr1"/>
        <charset val="204"/>
      </rPr>
      <t>Наименование изделий</t>
    </r>
  </si>
  <si>
    <t xml:space="preserve"> Цена с НДС</t>
  </si>
  <si>
    <t>розница</t>
  </si>
  <si>
    <t xml:space="preserve"> ША/ШБ № 5, 8 -прямые        </t>
  </si>
  <si>
    <t xml:space="preserve"> ША № 1, 2, 3, 4, 6, 7, 9, 10</t>
  </si>
  <si>
    <t xml:space="preserve"> ША №20, 21, 26,</t>
  </si>
  <si>
    <t xml:space="preserve"> ША № 49,50, 51, 52, 53, 54</t>
  </si>
  <si>
    <t xml:space="preserve"> ША № 60, 61, 62, 65, 66, 67, 68, 69, 70</t>
  </si>
  <si>
    <t xml:space="preserve"> ША № 12, 13, 14, 15  </t>
  </si>
  <si>
    <t xml:space="preserve"> ША № 94, 95, 96, 97</t>
  </si>
  <si>
    <t xml:space="preserve"> ША № 33, 34, 35, 36, 37, 38, 39</t>
  </si>
  <si>
    <t xml:space="preserve"> ША № 41, 42, 46, 48</t>
  </si>
  <si>
    <t>ШБ № 98-1,2 ;99-1,2; 100-1,2; 101-1,2; 102-1,2</t>
  </si>
  <si>
    <t>договорная</t>
  </si>
  <si>
    <t xml:space="preserve"> № 5, 8</t>
  </si>
  <si>
    <t xml:space="preserve"> № 22, 23</t>
  </si>
  <si>
    <t xml:space="preserve"> № 44, 45,  </t>
  </si>
  <si>
    <t xml:space="preserve"> № 22, 23, 44, 45</t>
  </si>
  <si>
    <t xml:space="preserve"> № 6</t>
  </si>
  <si>
    <t xml:space="preserve"> ШЛ-0,4 №5,  </t>
  </si>
  <si>
    <t xml:space="preserve"> ШЛ–0,4 № 22, 44, 45</t>
  </si>
  <si>
    <t xml:space="preserve"> ШЛ–0,4 № 23</t>
  </si>
  <si>
    <t xml:space="preserve"> ШТЛ–0,6 № 5</t>
  </si>
  <si>
    <t xml:space="preserve"> МКРЛ-0,8 № 5</t>
  </si>
  <si>
    <t>5,2 кг. 280шт./под.</t>
  </si>
  <si>
    <t>Порошки, глина, мертель</t>
  </si>
  <si>
    <t>Порошок шамотный ПШБМ</t>
  </si>
  <si>
    <t>мешки 50кг.</t>
  </si>
  <si>
    <t>мешки 25кг.</t>
  </si>
  <si>
    <t>Глина огнеупорная  ПГБ</t>
  </si>
  <si>
    <t>Мертель МШ-32</t>
  </si>
  <si>
    <t>Мертель МШ-36</t>
  </si>
  <si>
    <t>Мертель МШ-39</t>
  </si>
  <si>
    <t>Глина бентонитовая</t>
  </si>
  <si>
    <t>биг/бэг 1 тонна</t>
  </si>
  <si>
    <t>Кирпич диатомитовый КПД-400  230х113х65</t>
  </si>
  <si>
    <t>1.2м3=600ш</t>
  </si>
  <si>
    <t>Порошок диатомитовый</t>
  </si>
  <si>
    <t>1м3=380кг</t>
  </si>
  <si>
    <t>ЗПХ, ЗХП ,СХП, СПХ  (биг-бег)</t>
  </si>
  <si>
    <t>ППЭ – 88</t>
  </si>
  <si>
    <t xml:space="preserve">ППЭ - 1М  </t>
  </si>
  <si>
    <t xml:space="preserve">ППЭ - 1К  </t>
  </si>
  <si>
    <t>ППЭ - 2М</t>
  </si>
  <si>
    <t>ППЭ - 2К</t>
  </si>
  <si>
    <t>ППЭ - 3М</t>
  </si>
  <si>
    <t>ППЭ – 3К</t>
  </si>
  <si>
    <t>Войлок МКРВ-200</t>
  </si>
  <si>
    <t>Муллитокремнеземистый рулонный материал МКРР-130</t>
  </si>
  <si>
    <t>Муллитокремнеземистый фетр МКРФ-100, МКРВХ-150</t>
  </si>
  <si>
    <t>Плиты МКРП-340  (600х400х30)</t>
  </si>
  <si>
    <t>Плиты МКРП-340  (600х400х50)</t>
  </si>
  <si>
    <t>Плиты перлито-цементные ПЦП 500х500х50 м3=80шт</t>
  </si>
  <si>
    <t>Плита ШВП-350 500х500х100 в1куб.м.40шт.</t>
  </si>
  <si>
    <t>Песок перлитовый</t>
  </si>
  <si>
    <t>Гашеная известь</t>
  </si>
  <si>
    <t>мешки 20кг.</t>
  </si>
  <si>
    <t>Не гашеная известь на заказ от 1 тонны</t>
  </si>
  <si>
    <t>Глиноземистые цементы</t>
  </si>
  <si>
    <t>ВГМЦ-1-1700     до 100 кг. 84000 руб./тонна</t>
  </si>
  <si>
    <t>Асбестовые изделия</t>
  </si>
  <si>
    <t>Асбест А-6-30</t>
  </si>
  <si>
    <t>КАОН-асбокартон             800х1000х2,3,5,6,8,10</t>
  </si>
  <si>
    <t>ШАП - шнур распушеный</t>
  </si>
  <si>
    <t>ШАОН-шнур (диам.3-6,8,10,12,14,15,16,18,20,22,25,28,30,35,40мм)</t>
  </si>
  <si>
    <t>Асботкань АТ-3</t>
  </si>
  <si>
    <t>Асбозурит</t>
  </si>
  <si>
    <t>Изделия огнеупорные для вращающихся печей</t>
  </si>
  <si>
    <t xml:space="preserve">ШЦУ-32, ШПД-39,   </t>
  </si>
  <si>
    <t>ШКУ-32</t>
  </si>
  <si>
    <t>Материалы общего назначения</t>
  </si>
  <si>
    <t>Цемент М-500, М-400</t>
  </si>
  <si>
    <t>Цемент напрягающий НЦ-20</t>
  </si>
  <si>
    <t>Песок кварцевый</t>
  </si>
  <si>
    <t>450 р. меш</t>
  </si>
  <si>
    <t>Кварц пылевидный молотый (маршалит)</t>
  </si>
  <si>
    <t>мешки 50 кг</t>
  </si>
  <si>
    <t>АОС (Антипригарный огнеупорный состав)</t>
  </si>
  <si>
    <t>Аллюмоборфосфатное связующее (АФС марки Б)</t>
  </si>
  <si>
    <t>Аллюмохромфосфатное связующее (АФС марки В-1)</t>
  </si>
  <si>
    <t>Стекло жидкое натриевое</t>
  </si>
  <si>
    <t>канистра 15кг.</t>
  </si>
  <si>
    <t>Противогололедные реагенты (ХКНМ)  "Айсмелт"</t>
  </si>
  <si>
    <t>Противогололедные реагенты "ГЕОДОР-1"</t>
  </si>
  <si>
    <t>Соль техническая</t>
  </si>
  <si>
    <t>Крошка гранитная для посыпки дорог</t>
  </si>
  <si>
    <t xml:space="preserve">Тележка разбрасыватель для реагентов </t>
  </si>
  <si>
    <t>Кирпич Витебский М-200 (1 цех)</t>
  </si>
  <si>
    <t>Сетка рабица 20х20х1.3 оцинк.</t>
  </si>
  <si>
    <t>рулон 15 м.2</t>
  </si>
  <si>
    <t>Мешковина        (рул. 52 м2)</t>
  </si>
  <si>
    <t>ГЦ-40  (Пермь-Пашийский)</t>
  </si>
  <si>
    <t xml:space="preserve">канистра 34 кг    </t>
  </si>
  <si>
    <t>420 руб.меш.</t>
  </si>
  <si>
    <t>560руб.меш.</t>
  </si>
  <si>
    <t>780руб./кг.</t>
  </si>
  <si>
    <t>720руб.меш.</t>
  </si>
  <si>
    <t>1 тонна</t>
  </si>
  <si>
    <t>Шпат плавиковый ФК-75, ФК-85, ФК-95</t>
  </si>
  <si>
    <t>Пропитка огнезащитная</t>
  </si>
  <si>
    <t>1 упак</t>
  </si>
  <si>
    <t>Кирпич корундовый КЛ-1,3</t>
  </si>
  <si>
    <t>мешки 25 кг.</t>
  </si>
  <si>
    <t>от 56 руб./шт</t>
  </si>
  <si>
    <t xml:space="preserve">Клей КОЗ-3 </t>
  </si>
  <si>
    <t>20 кг./канистра</t>
  </si>
  <si>
    <t>Клей-мертель "Гамма-муллит"</t>
  </si>
  <si>
    <t>Ведро 8 кг.</t>
  </si>
  <si>
    <t>Клей СО-40 для теплоизоляции (Авантех)</t>
  </si>
  <si>
    <t xml:space="preserve">Клей огнеупорный (Динас) 2-х компонентный  </t>
  </si>
  <si>
    <t>Ведро 10 кг.</t>
  </si>
  <si>
    <t>Клей КВ-1200 (универсальный огнеупорный) 2-х компонентный</t>
  </si>
  <si>
    <t>2 ведра (5 кг.)</t>
  </si>
  <si>
    <t>30 кг./канистра</t>
  </si>
  <si>
    <t>1200 руб./кг.</t>
  </si>
  <si>
    <t>Категория</t>
  </si>
  <si>
    <t>Название</t>
  </si>
  <si>
    <t>Описание</t>
  </si>
  <si>
    <t>Цена</t>
  </si>
  <si>
    <t>Объем</t>
  </si>
  <si>
    <t xml:space="preserve">Прайс-лист на огнеупоры </t>
  </si>
  <si>
    <t>ПРАЙС-ЛИСТ НА ОГНЕУПОРЫ</t>
  </si>
  <si>
    <t>Наименование изделия</t>
  </si>
  <si>
    <t>Вид изделия</t>
  </si>
  <si>
    <t>Цена (+ НДС)</t>
  </si>
  <si>
    <t>Цена (Розница)</t>
  </si>
  <si>
    <t>На сайте</t>
  </si>
  <si>
    <t>ША</t>
  </si>
  <si>
    <t>ШБ</t>
  </si>
  <si>
    <t>Изделие шамотное</t>
  </si>
  <si>
    <t>ГОСТ</t>
  </si>
  <si>
    <t>сайт</t>
  </si>
  <si>
    <t>гост</t>
  </si>
  <si>
    <r>
      <rPr>
        <b/>
        <sz val="12"/>
        <color rgb="FF000000"/>
        <rFont val="Times New Roman"/>
        <family val="1"/>
      </rPr>
      <t>230х65х65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</si>
  <si>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230х85х65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</si>
  <si>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230х114х100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</si>
  <si>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230х114х75 </t>
    </r>
    <r>
      <rPr>
        <sz val="12"/>
        <color indexed="8"/>
        <rFont val="Times New Roman"/>
        <family val="1"/>
      </rPr>
      <t>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</si>
  <si>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№1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</si>
  <si>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№2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</si>
  <si>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№3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</si>
  <si>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№4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</si>
  <si>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№5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</si>
  <si>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№6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</si>
  <si>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№7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</si>
  <si>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№8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</si>
  <si>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№9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</si>
  <si>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№10</t>
    </r>
  </si>
  <si>
    <r>
      <rPr>
        <b/>
        <sz val="12"/>
        <color rgb="FF000000"/>
        <rFont val="Times New Roman"/>
        <family val="1"/>
      </rPr>
      <t xml:space="preserve">230х114х65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</si>
  <si>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230х114х40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</si>
  <si>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</si>
  <si>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</si>
  <si>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300х150х65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</si>
  <si>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345х150х75</t>
    </r>
    <r>
      <rPr>
        <sz val="12"/>
        <color indexed="8"/>
        <rFont val="Times New Roman"/>
        <family val="1"/>
      </rPr>
      <t xml:space="preserve"> (ГОСТ 8691-73)</t>
    </r>
  </si>
  <si>
    <t>тн</t>
  </si>
  <si>
    <t>шт</t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</si>
  <si>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12</t>
    </r>
  </si>
  <si>
    <r>
      <rPr>
        <b/>
        <sz val="12"/>
        <color rgb="FF000000"/>
        <rFont val="Times New Roman"/>
        <family val="1"/>
      </rPr>
      <t>230х172х65</t>
    </r>
    <r>
      <rPr>
        <sz val="12"/>
        <color indexed="8"/>
        <rFont val="Times New Roman"/>
        <family val="1"/>
      </rPr>
      <t xml:space="preserve"> 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</si>
  <si>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13</t>
    </r>
    <r>
      <rPr>
        <sz val="10"/>
        <rFont val="Arial"/>
        <family val="2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</si>
  <si>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14</t>
    </r>
    <r>
      <rPr>
        <sz val="10"/>
        <rFont val="Arial"/>
        <family val="2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</si>
  <si>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15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</si>
  <si>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 xml:space="preserve">250х182х75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</si>
  <si>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250х187х65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</si>
  <si>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300х225х65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</si>
  <si>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Клин торцовый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20</t>
    </r>
  </si>
  <si>
    <r>
      <rPr>
        <b/>
        <sz val="12"/>
        <color rgb="FF000000"/>
        <rFont val="Times New Roman"/>
        <family val="1"/>
      </rPr>
      <t>230х114х75х65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</si>
  <si>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21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</si>
  <si>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26</t>
    </r>
  </si>
  <si>
    <r>
      <rPr>
        <b/>
        <sz val="12"/>
        <color rgb="FF000000"/>
        <rFont val="Times New Roman"/>
        <family val="1"/>
      </rPr>
      <t xml:space="preserve">250х124х65х45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</si>
  <si>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22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</si>
  <si>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23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</si>
  <si>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24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</si>
  <si>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25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</si>
  <si>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230х114х65х55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</si>
  <si>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230х114х65х45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</si>
  <si>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250х124х75х65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</si>
  <si>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250х124х65х55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</si>
  <si>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33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</si>
  <si>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</si>
  <si>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</si>
  <si>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36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</si>
  <si>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</si>
  <si>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</si>
  <si>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</si>
  <si>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230х172х75х65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</si>
  <si>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230х172х75х55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</si>
  <si>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</si>
  <si>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</si>
  <si>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</si>
  <si>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</si>
  <si>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</si>
  <si>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41</t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</si>
  <si>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42</t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</si>
  <si>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</si>
  <si>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</si>
  <si>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</si>
  <si>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46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</si>
  <si>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</si>
  <si>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</si>
  <si>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300х225х65х45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</si>
  <si>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49</t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</si>
  <si>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</si>
  <si>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</si>
  <si>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52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</si>
  <si>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</si>
  <si>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</si>
  <si>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230х114х75х65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</si>
  <si>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230х114х75х55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</si>
  <si>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</si>
  <si>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</si>
  <si>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</si>
  <si>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</si>
  <si>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230х114х96х65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</si>
  <si>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230х114х76х65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</si>
  <si>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230х114х56х65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</si>
  <si>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345х150х125х75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</si>
  <si>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345х150х90х75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</si>
  <si>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345х150х80х75 </t>
    </r>
    <r>
      <rPr>
        <sz val="12"/>
        <color indexed="8"/>
        <rFont val="Times New Roman"/>
        <family val="1"/>
      </rPr>
      <t>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</si>
  <si>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60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</si>
  <si>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61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</si>
  <si>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</si>
  <si>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65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</si>
  <si>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</si>
  <si>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67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</si>
  <si>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68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</si>
  <si>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69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</si>
  <si>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70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</si>
  <si>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114х114х114х133х34х57 α60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</si>
  <si>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114х114х114х133х52х33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</si>
  <si>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124х124х124х133х26х62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</si>
  <si>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172х230х114х201х80х109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</si>
  <si>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230х230х114х201х39х68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</si>
  <si>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230х230х114х236х37х115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</si>
  <si>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230х230х114х269х70х115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</si>
  <si>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250х230х124х269х53х105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</si>
  <si>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300х230х75х269х9х80 α60 </t>
    </r>
    <r>
      <rPr>
        <sz val="12"/>
        <color indexed="8"/>
        <rFont val="Times New Roman"/>
        <family val="1"/>
      </rPr>
      <t xml:space="preserve">    (ГОСТ 8691-73)</t>
    </r>
  </si>
  <si>
    <r>
      <rPr>
        <b/>
        <sz val="12"/>
        <color rgb="FF000000"/>
        <rFont val="Times New Roman"/>
        <family val="1"/>
      </rPr>
      <t xml:space="preserve">460х230х75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</si>
  <si>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575х170х80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</si>
  <si>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600х230х90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</si>
  <si>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460х133х114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</si>
  <si>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№94</t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</si>
  <si>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</si>
  <si>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№96</t>
    </r>
    <r>
      <rPr>
        <sz val="12"/>
        <color theme="1"/>
        <rFont val="Calibri"/>
        <family val="2"/>
        <charset val="204"/>
        <scheme val="minor"/>
      </rPr>
      <t/>
    </r>
  </si>
  <si>
    <t>Брус огнеупорный</t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</si>
  <si>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98-1/2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</si>
  <si>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99-1/2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</si>
  <si>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100-1/2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</si>
  <si>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101-1/2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</si>
  <si>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102-1/2</t>
    </r>
  </si>
  <si>
    <r>
      <rPr>
        <b/>
        <sz val="12"/>
        <color rgb="FF000000"/>
        <rFont val="Times New Roman"/>
        <family val="1"/>
      </rPr>
      <t xml:space="preserve">230х100х80х150х50х35    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</si>
  <si>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340х167х120х190х75х45  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</si>
  <si>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340х167х120х210х100х45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</si>
  <si>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340х167х130х240х125х40     </t>
    </r>
    <r>
      <rPr>
        <sz val="12"/>
        <color indexed="8"/>
        <rFont val="Times New Roman"/>
        <family val="1"/>
      </rPr>
      <t>(ГОСТ 8691-73)</t>
    </r>
  </si>
  <si>
    <r>
      <t xml:space="preserve">340х167х130х260х150х40     </t>
    </r>
    <r>
      <rPr>
        <sz val="12"/>
        <color rgb="FF000000"/>
        <rFont val="Times New Roman"/>
        <family val="1"/>
      </rPr>
      <t>(ГОСТ 8691-73)</t>
    </r>
  </si>
  <si>
    <t>Трубки сифонные ШС-28(гост 11586-2005)</t>
  </si>
  <si>
    <t>Трубки стопорные ШСП-32, ШСП-35  (гост 5500-2001)</t>
  </si>
  <si>
    <t>НТ-033, (36х24) (гост 390-96)</t>
  </si>
  <si>
    <t>НТ–079, 080, 081 (гост 390-96)</t>
  </si>
  <si>
    <t>НТ-136,137 гост 8691 (гост 390-96)</t>
  </si>
  <si>
    <t>НТ-068 (трубки 36х14) (гост 390-96)</t>
  </si>
  <si>
    <t>НТ-067 (трубки 56х32) (гост 390-96)</t>
  </si>
  <si>
    <t>ХП5 №1  ГОСТ 5381-93</t>
  </si>
  <si>
    <t>ХП5 №3,4.  ГОСТ 5381-93</t>
  </si>
  <si>
    <t>ХП3 №1  ГОСТ 5381-93</t>
  </si>
  <si>
    <t>П91 №1 ГОСТ 4689-94</t>
  </si>
  <si>
    <t>П91 №15,16. ГОСТ 4689-94</t>
  </si>
  <si>
    <r>
      <t xml:space="preserve"> </t>
    </r>
    <r>
      <rPr>
        <b/>
        <sz val="10"/>
        <color theme="1"/>
        <rFont val="Arial Cyr1"/>
        <charset val="204"/>
      </rPr>
      <t>Шамотный кирпич</t>
    </r>
    <r>
      <rPr>
        <sz val="10"/>
        <color theme="1"/>
        <rFont val="Arial Cyr1"/>
        <charset val="204"/>
      </rPr>
      <t xml:space="preserve">: </t>
    </r>
    <r>
      <rPr>
        <b/>
        <sz val="10"/>
        <color theme="1"/>
        <rFont val="Arial Cyr1"/>
        <charset val="204"/>
      </rPr>
      <t>ША, ШБ</t>
    </r>
    <r>
      <rPr>
        <sz val="10"/>
        <color theme="1"/>
        <rFont val="Arial Cyr1"/>
        <charset val="204"/>
      </rPr>
      <t xml:space="preserve"> ГОСТ 8691-73</t>
    </r>
  </si>
  <si>
    <t>ПХСС №1  ГОСТ 10888-93</t>
  </si>
  <si>
    <t>ПХСС №10-42. ГОСТ 10888-93</t>
  </si>
  <si>
    <t xml:space="preserve"> Изделия муллитокорундовые МКС -72(ГОСТ 24704-94)  МЛС-62 (ГОСТ 54312-2011)</t>
  </si>
  <si>
    <r>
      <t>Ультралегковесные изделия</t>
    </r>
    <r>
      <rPr>
        <sz val="10"/>
        <color indexed="8"/>
        <rFont val="Arial Cyr1"/>
        <charset val="204"/>
      </rPr>
      <t>:</t>
    </r>
    <r>
      <rPr>
        <sz val="10"/>
        <color rgb="FF000000"/>
        <rFont val="Arial Cyr1"/>
        <charset val="204"/>
      </rPr>
      <t xml:space="preserve"> ГОСТ 5040</t>
    </r>
  </si>
  <si>
    <t xml:space="preserve"> Периклазохромитовые , магнезитовые изделия ГОСТ 5381-93</t>
  </si>
  <si>
    <r>
      <t xml:space="preserve"> </t>
    </r>
    <r>
      <rPr>
        <sz val="10"/>
        <color rgb="FF000000"/>
        <rFont val="Arial Cyr1"/>
        <charset val="204"/>
      </rPr>
      <t>ША №  22, 23, 24, 25,</t>
    </r>
    <r>
      <rPr>
        <sz val="10"/>
        <color indexed="8"/>
        <rFont val="Arial Cyr1"/>
        <charset val="204"/>
      </rPr>
      <t xml:space="preserve"> 43, 44, 45 ,47</t>
    </r>
  </si>
  <si>
    <r>
      <t xml:space="preserve"> Легковесные изделия марки ШЛ – 1.0</t>
    </r>
    <r>
      <rPr>
        <sz val="10"/>
        <color indexed="8"/>
        <rFont val="Arial Cyr1"/>
        <charset val="204"/>
      </rPr>
      <t>:</t>
    </r>
    <r>
      <rPr>
        <b/>
        <sz val="10"/>
        <color indexed="8"/>
        <rFont val="Arial Cyr1"/>
        <charset val="204"/>
      </rPr>
      <t xml:space="preserve"> ГОСТ 5040</t>
    </r>
  </si>
  <si>
    <r>
      <t xml:space="preserve"> </t>
    </r>
    <r>
      <rPr>
        <b/>
        <sz val="10"/>
        <color indexed="8"/>
        <rFont val="Arial Cyr1"/>
        <charset val="204"/>
      </rPr>
      <t>Легковесные изделия марки ШЛ-1,3</t>
    </r>
    <r>
      <rPr>
        <sz val="10"/>
        <color indexed="8"/>
        <rFont val="Arial Cyr1"/>
        <charset val="204"/>
      </rPr>
      <t>: ГОСТ 5040</t>
    </r>
  </si>
  <si>
    <t>Изделия вермикулитовые</t>
  </si>
  <si>
    <t>Изделия диатомитовые</t>
  </si>
  <si>
    <t>Смеси,заполнители</t>
  </si>
  <si>
    <t>Изделия перлито-цементные</t>
  </si>
  <si>
    <t>Теплоизоляционные материалы</t>
  </si>
  <si>
    <t>№ 5, 8 МКС -72(ГОСТ 24704-94) (РАЗМЕР  ГОСТ 8691-73)</t>
  </si>
  <si>
    <t>№ 5, 8  МЛС-62 (ГОСТ 54312-2011) (РАЗМЕР  ГОСТ 8691-73)</t>
  </si>
  <si>
    <t>Изделие шамотное легковесное ШЛ-1,0</t>
  </si>
  <si>
    <t>Изделие шамотное легковесное ШЛ-1,3</t>
  </si>
  <si>
    <t>Розница</t>
  </si>
  <si>
    <t>Изделие шамотное ультралегковесное ШЛ-0,4</t>
  </si>
  <si>
    <t>Изделие муллито-кремниземистое МКРЛ-0,8</t>
  </si>
  <si>
    <t>Изделие шамотное-тальковое ультралегковесное ШТЛ-0,6</t>
  </si>
  <si>
    <t>Легковесные изделия марки ШЛ-1,0:</t>
  </si>
  <si>
    <t>Легковесные изделия марки ШЛ-1,3:</t>
  </si>
  <si>
    <t>Легковесные изделия марки ШЛ-0,4 и др.:</t>
  </si>
  <si>
    <t>Периклазохромитовые, магнезитовые изделия:</t>
  </si>
  <si>
    <t>Шамотный кирпич ША/ШБ:</t>
  </si>
  <si>
    <t>&lt;- раскрыть/закрыть список (+/-)</t>
  </si>
  <si>
    <t>Изделие периклазохромитовое сводовое среднеплотное</t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</si>
  <si>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</si>
  <si>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>230х115х65х55</t>
    </r>
    <r>
      <rPr>
        <sz val="12"/>
        <color indexed="8"/>
        <rFont val="Times New Roman"/>
        <family val="1"/>
      </rPr>
      <t xml:space="preserve"> (ГОСТ 10888-93)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</si>
  <si>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10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</si>
  <si>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11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</si>
  <si>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</si>
  <si>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13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</si>
  <si>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14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</si>
  <si>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15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</si>
  <si>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</si>
  <si>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17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</si>
  <si>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18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</si>
  <si>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19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</si>
  <si>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</si>
  <si>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460х150х65х50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</si>
  <si>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380х150х90х83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</si>
  <si>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380х150х90х78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</si>
  <si>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380х150х85х75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</si>
  <si>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380х150х82х66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</si>
  <si>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380х150х77х72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</si>
  <si>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380х150х77х68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</si>
  <si>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</si>
  <si>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300х150х85х68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</si>
  <si>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350х150х75х68 </t>
    </r>
    <r>
      <rPr>
        <sz val="12"/>
        <color indexed="8"/>
        <rFont val="Times New Roman"/>
        <family val="1"/>
      </rPr>
      <t>(ГОСТ 10888-93)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</si>
  <si>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</si>
  <si>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460х150х77х71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</si>
  <si>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28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</si>
  <si>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</si>
  <si>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23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</si>
  <si>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24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</si>
  <si>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25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</si>
  <si>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</si>
  <si>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</si>
  <si>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29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</si>
  <si>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</si>
  <si>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</si>
  <si>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32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</si>
  <si>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</si>
  <si>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</si>
  <si>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пирамидальный</t>
    </r>
    <r>
      <rPr>
        <sz val="12"/>
        <color rgb="FF000000"/>
        <rFont val="Times New Roman"/>
        <family val="1"/>
      </rPr>
      <t xml:space="preserve"> двухсторонний </t>
    </r>
    <r>
      <rPr>
        <b/>
        <sz val="12"/>
        <color rgb="FF000000"/>
        <rFont val="Times New Roman"/>
        <family val="1"/>
      </rPr>
      <t>№ 42</t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</si>
  <si>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36</t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</si>
  <si>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</si>
  <si>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</si>
  <si>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</si>
  <si>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40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</si>
  <si>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41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</si>
  <si>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</si>
  <si>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460х150х79х68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</si>
  <si>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460х150х83х75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</si>
  <si>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460х150х90х78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</si>
  <si>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460х150х90х83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</si>
  <si>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520х150х79х70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</si>
  <si>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520х150х84х75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</si>
  <si>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230х115х68х45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</si>
  <si>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230х115х65х55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</si>
  <si>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230х150х65х55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</si>
  <si>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300х150х65х55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</si>
  <si>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300х150х75х55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</si>
  <si>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300х150х75х65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</si>
  <si>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300х150х90х80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</si>
  <si>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230х115х93х65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</si>
  <si>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300х150х135х75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</si>
  <si>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300х150х80х75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</si>
  <si>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380х150х96х90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</si>
  <si>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460х150х85х90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</si>
  <si>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460х150х130х90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</si>
  <si>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520х154х80х90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</si>
  <si>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230х115х93х65х55 </t>
    </r>
    <r>
      <rPr>
        <sz val="12"/>
        <color indexed="8"/>
        <rFont val="Times New Roman"/>
        <family val="1"/>
      </rPr>
      <t>(ГОСТ 10888-93)</t>
    </r>
  </si>
  <si>
    <t>Изделие хромитопериклазовое (ХП5)</t>
  </si>
  <si>
    <t>Изделие хромитопериклазовое (ХП3)</t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</si>
  <si>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№3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</si>
  <si>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</si>
  <si>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230х115х65 </t>
    </r>
    <r>
      <rPr>
        <sz val="12"/>
        <color indexed="8"/>
        <rFont val="Times New Roman"/>
        <family val="1"/>
      </rPr>
      <t>(ГОСТ 5381-93)</t>
    </r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</si>
  <si>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5381-93)</t>
    </r>
  </si>
  <si>
    <r>
      <rPr>
        <b/>
        <sz val="12"/>
        <color rgb="FF000000"/>
        <rFont val="Times New Roman"/>
        <family val="1"/>
      </rPr>
      <t xml:space="preserve">230х115х65х45 </t>
    </r>
    <r>
      <rPr>
        <sz val="12"/>
        <color indexed="8"/>
        <rFont val="Times New Roman"/>
        <family val="1"/>
      </rPr>
      <t>(ГОСТ 5381-93)</t>
    </r>
  </si>
  <si>
    <r>
      <rPr>
        <b/>
        <sz val="12"/>
        <color rgb="FF000000"/>
        <rFont val="Times New Roman"/>
        <family val="1"/>
      </rPr>
      <t xml:space="preserve">230х115х65х55 </t>
    </r>
    <r>
      <rPr>
        <sz val="12"/>
        <color indexed="8"/>
        <rFont val="Times New Roman"/>
        <family val="1"/>
      </rPr>
      <t>(ГОСТ 5381-93)</t>
    </r>
  </si>
  <si>
    <t>Изделие периклазовое (П91)</t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</si>
  <si>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4689-94)</t>
    </r>
  </si>
  <si>
    <r>
      <rPr>
        <b/>
        <sz val="12"/>
        <color rgb="FF000000"/>
        <rFont val="Times New Roman"/>
        <family val="1"/>
      </rPr>
      <t>Клин радиальный</t>
    </r>
    <r>
      <rPr>
        <sz val="12"/>
        <color indexed="8"/>
        <rFont val="Times New Roman"/>
        <family val="1"/>
      </rPr>
      <t xml:space="preserve"> двусторонний </t>
    </r>
    <r>
      <rPr>
        <b/>
        <sz val="12"/>
        <color rgb="FF000000"/>
        <rFont val="Times New Roman"/>
        <family val="1"/>
      </rPr>
      <t>№16</t>
    </r>
  </si>
  <si>
    <r>
      <rPr>
        <b/>
        <sz val="12"/>
        <color rgb="FF000000"/>
        <rFont val="Times New Roman"/>
        <family val="1"/>
      </rPr>
      <t>Клин радиальный</t>
    </r>
    <r>
      <rPr>
        <sz val="12"/>
        <color indexed="8"/>
        <rFont val="Times New Roman"/>
        <family val="1"/>
      </rPr>
      <t xml:space="preserve"> двусторонний </t>
    </r>
    <r>
      <rPr>
        <b/>
        <sz val="12"/>
        <color rgb="FF000000"/>
        <rFont val="Times New Roman"/>
        <family val="1"/>
      </rPr>
      <t>№15</t>
    </r>
  </si>
  <si>
    <r>
      <rPr>
        <b/>
        <sz val="12"/>
        <color rgb="FF000000"/>
        <rFont val="Times New Roman"/>
        <family val="1"/>
      </rPr>
      <t xml:space="preserve">230х115х93х65 </t>
    </r>
    <r>
      <rPr>
        <sz val="12"/>
        <color indexed="8"/>
        <rFont val="Times New Roman"/>
        <family val="1"/>
      </rPr>
      <t>(ГОСТ 4689-94)</t>
    </r>
  </si>
  <si>
    <r>
      <rPr>
        <b/>
        <sz val="12"/>
        <color rgb="FF000000"/>
        <rFont val="Times New Roman"/>
        <family val="1"/>
      </rPr>
      <t xml:space="preserve">230х115х70х65 </t>
    </r>
    <r>
      <rPr>
        <sz val="12"/>
        <color indexed="8"/>
        <rFont val="Times New Roman"/>
        <family val="1"/>
      </rPr>
      <t>(ГОСТ 4689-94)</t>
    </r>
  </si>
  <si>
    <t>Корундовые-муллитокорундовые изделия:</t>
  </si>
  <si>
    <t>тн (заказ)</t>
  </si>
  <si>
    <t>Изделие муллито-корундовое среднеплотное (МКС-72)</t>
  </si>
  <si>
    <t>Изделие муллитовое среднеплотное (МЛС-62)</t>
  </si>
  <si>
    <t>Порошок шамотный</t>
  </si>
  <si>
    <t>ПШБМ</t>
  </si>
  <si>
    <t>ПГБ</t>
  </si>
  <si>
    <t>Глина огнеупорная</t>
  </si>
  <si>
    <t>МШ-32</t>
  </si>
  <si>
    <t>МШ-36</t>
  </si>
  <si>
    <t>МШ-39</t>
  </si>
  <si>
    <t>Мертель</t>
  </si>
  <si>
    <t>Глина</t>
  </si>
  <si>
    <t>Плиты вермикулитовые ПВТН 1200х600х30</t>
  </si>
  <si>
    <t>Плиты вермикулитовые ПВТН 1200х600х40</t>
  </si>
  <si>
    <t>Плиты вермикулитовые ПВТН 1200х600х50</t>
  </si>
  <si>
    <t>Плиты вермикулитовые ПВТН 1200х600х60</t>
  </si>
  <si>
    <t>Плиты вермикулитовые ПВТН 1200х600х70</t>
  </si>
  <si>
    <t>Плиты вермикулитовые ПВТН 1200х600х80</t>
  </si>
  <si>
    <t>Плиты вермикулитовые ПВТН 1200х600х90</t>
  </si>
  <si>
    <t>Плиты вермикулитовые ПВТН 1200х600х100</t>
  </si>
  <si>
    <t>м3</t>
  </si>
  <si>
    <t>Плиты вермикулитовые ПВТН 1200х600х20</t>
  </si>
  <si>
    <t>Вермикулит вспученный    1м3=15 мешков мешок 67 литров</t>
  </si>
  <si>
    <t>Кирпич КСП-90/КСП-96 (№5/№8) 4п</t>
  </si>
  <si>
    <t>Плита вермикулитовая</t>
  </si>
  <si>
    <t>1200х600х20</t>
  </si>
  <si>
    <t>1200х600х30</t>
  </si>
  <si>
    <t>1200х600х40</t>
  </si>
  <si>
    <t>1200х600х50</t>
  </si>
  <si>
    <t>1200х600х60</t>
  </si>
  <si>
    <t>1200х600х70</t>
  </si>
  <si>
    <t>1200х600х80</t>
  </si>
  <si>
    <t>1200х600х90</t>
  </si>
  <si>
    <t>1200х600х100</t>
  </si>
  <si>
    <t>ПВТН</t>
  </si>
  <si>
    <t>кг</t>
  </si>
  <si>
    <t>Вермикулит</t>
  </si>
  <si>
    <t>Вермикулит вспученный</t>
  </si>
  <si>
    <t>Глина Бентонитовая</t>
  </si>
  <si>
    <t>Порошки, глина, мертель:</t>
  </si>
  <si>
    <t>Изделия вермикулитовые:</t>
  </si>
  <si>
    <t>Изделия диатомитовые:</t>
  </si>
  <si>
    <t>1м3 = 15 мешков/1 мешок - 67кг (ГОСТ 12865-67)</t>
  </si>
  <si>
    <t>Кирпич пенодиатомитовый КПД-400</t>
  </si>
  <si>
    <t>Изделие пено/диатомитовое</t>
  </si>
  <si>
    <t>Порошки</t>
  </si>
  <si>
    <r>
      <rPr>
        <b/>
        <sz val="12"/>
        <color rgb="FF000000"/>
        <rFont val="Times New Roman"/>
        <family val="1"/>
      </rPr>
      <t>230х113х65</t>
    </r>
    <r>
      <rPr>
        <sz val="12"/>
        <color indexed="8"/>
        <rFont val="Times New Roman"/>
        <family val="1"/>
      </rPr>
      <t xml:space="preserve"> (ГОСТ 2694-78) 1,2м3=600 шт</t>
    </r>
  </si>
  <si>
    <t>1м3 = 380 кг</t>
  </si>
  <si>
    <t>Смеси, заполнители:</t>
  </si>
  <si>
    <t>Порошок периклазовый электротехнический</t>
  </si>
  <si>
    <t>ППЭ - 88</t>
  </si>
  <si>
    <t>ППЭ - 1М</t>
  </si>
  <si>
    <t>ППЭ - 1К</t>
  </si>
  <si>
    <t>ППЭ - 3К</t>
  </si>
  <si>
    <t>Заполнитель периклазохромитовый</t>
  </si>
  <si>
    <t>ЗПХ</t>
  </si>
  <si>
    <t>Заполнитель хромитопериклазовый</t>
  </si>
  <si>
    <t>ЗХП</t>
  </si>
  <si>
    <t>Смесь огнеупорная периклазохромитовая</t>
  </si>
  <si>
    <t>Смесь огнеупорная хромитопериклазовая</t>
  </si>
  <si>
    <t>СПХ</t>
  </si>
  <si>
    <t>СХП</t>
  </si>
  <si>
    <t>Теплоизоляционные материалы:</t>
  </si>
  <si>
    <t>Войлок</t>
  </si>
  <si>
    <t>МКРВ - 200</t>
  </si>
  <si>
    <t>Изделие муллитокремнеземистое</t>
  </si>
  <si>
    <t>МКРР - 130</t>
  </si>
  <si>
    <t>МКРФ - 100</t>
  </si>
  <si>
    <t>МКРВХ - 150</t>
  </si>
  <si>
    <t>МКРП - 340</t>
  </si>
  <si>
    <t>(ГОСТ 23619-79)</t>
  </si>
  <si>
    <t>шт/тн</t>
  </si>
  <si>
    <r>
      <rPr>
        <b/>
        <sz val="12"/>
        <color rgb="FF000000"/>
        <rFont val="Times New Roman"/>
        <family val="1"/>
      </rPr>
      <t>600х400х30</t>
    </r>
    <r>
      <rPr>
        <sz val="12"/>
        <color indexed="8"/>
        <rFont val="Times New Roman"/>
        <family val="1"/>
      </rPr>
      <t xml:space="preserve"> (ГОСТ 23619-79)</t>
    </r>
  </si>
  <si>
    <r>
      <rPr>
        <b/>
        <sz val="12"/>
        <color rgb="FF000000"/>
        <rFont val="Times New Roman"/>
        <family val="1"/>
      </rPr>
      <t>600х400х50</t>
    </r>
    <r>
      <rPr>
        <sz val="12"/>
        <color indexed="8"/>
        <rFont val="Times New Roman"/>
        <family val="1"/>
      </rPr>
      <t xml:space="preserve"> (ГОСТ 23619-79)</t>
    </r>
  </si>
  <si>
    <t>Изделия перлито-цементные:</t>
  </si>
  <si>
    <t>Гашеная известь мешки 20кг.</t>
  </si>
  <si>
    <t>Изделие шамотно-стекловолокнистое</t>
  </si>
  <si>
    <t>Плита ШВП - 350</t>
  </si>
  <si>
    <t>Изделие перлито-цементное</t>
  </si>
  <si>
    <t>Плита ПЦП</t>
  </si>
  <si>
    <t>Песок</t>
  </si>
  <si>
    <t>Известь</t>
  </si>
  <si>
    <r>
      <rPr>
        <b/>
        <sz val="12"/>
        <color rgb="FF000000"/>
        <rFont val="Times New Roman"/>
        <family val="1"/>
      </rPr>
      <t xml:space="preserve">500х500х50 </t>
    </r>
    <r>
      <rPr>
        <sz val="12"/>
        <color indexed="8"/>
        <rFont val="Times New Roman"/>
        <family val="1"/>
      </rPr>
      <t>1м3=80шт</t>
    </r>
  </si>
  <si>
    <r>
      <rPr>
        <b/>
        <sz val="12"/>
        <color rgb="FF000000"/>
        <rFont val="Times New Roman"/>
        <family val="1"/>
      </rPr>
      <t xml:space="preserve">500х500х100 </t>
    </r>
    <r>
      <rPr>
        <sz val="12"/>
        <color indexed="8"/>
        <rFont val="Times New Roman"/>
        <family val="1"/>
      </rPr>
      <t>1м3=40шт</t>
    </r>
  </si>
  <si>
    <t>розница (шт/тн)</t>
  </si>
  <si>
    <t>розница (шт)</t>
  </si>
  <si>
    <t xml:space="preserve"> Цена с НДС (шт/тн)</t>
  </si>
  <si>
    <t>Глиноземистые цементы:</t>
  </si>
  <si>
    <t>Изделия глиноземистые</t>
  </si>
  <si>
    <t>Цемент ГЦ-40</t>
  </si>
  <si>
    <t>ВГМЦ-I-1700</t>
  </si>
  <si>
    <t>мешок 20кг</t>
  </si>
  <si>
    <t>мешок 20кг при заказе до 100кг цена 84000 тн</t>
  </si>
  <si>
    <t>Пермь-Пашийский мешок 20кг</t>
  </si>
  <si>
    <t>биг/бэг 1000 кг</t>
  </si>
  <si>
    <t>мешок 50кг</t>
  </si>
  <si>
    <t>Асбестовые изделия:</t>
  </si>
  <si>
    <t>Асбозурит заказ 15 дней</t>
  </si>
  <si>
    <t>м2</t>
  </si>
  <si>
    <t>м3/тн</t>
  </si>
  <si>
    <t>Изделие асбестовое</t>
  </si>
  <si>
    <t>Асбокартон КАОН</t>
  </si>
  <si>
    <t>бухта/кг</t>
  </si>
  <si>
    <t>мешок 25кг ЗАКАЗ - 15 дней</t>
  </si>
  <si>
    <t>Шнур ШАП руспушеный</t>
  </si>
  <si>
    <t>Шнур ШАОН</t>
  </si>
  <si>
    <t>Не гашеная известь</t>
  </si>
  <si>
    <t>тн/кг</t>
  </si>
  <si>
    <r>
      <t xml:space="preserve">800х1000х10 </t>
    </r>
    <r>
      <rPr>
        <b/>
        <sz val="12"/>
        <color rgb="FF000000"/>
        <rFont val="Times New Roman"/>
        <family val="1"/>
      </rPr>
      <t>кг</t>
    </r>
  </si>
  <si>
    <r>
      <t xml:space="preserve">800х1000х8 </t>
    </r>
    <r>
      <rPr>
        <b/>
        <sz val="12"/>
        <color rgb="FF000000"/>
        <rFont val="Times New Roman"/>
        <family val="1"/>
      </rPr>
      <t>кг</t>
    </r>
  </si>
  <si>
    <r>
      <t xml:space="preserve">800х1000х6 </t>
    </r>
    <r>
      <rPr>
        <b/>
        <sz val="12"/>
        <color rgb="FF000000"/>
        <rFont val="Times New Roman"/>
        <family val="1"/>
      </rPr>
      <t>кг</t>
    </r>
  </si>
  <si>
    <r>
      <t xml:space="preserve">800х1000х5 </t>
    </r>
    <r>
      <rPr>
        <b/>
        <sz val="12"/>
        <color rgb="FF000000"/>
        <rFont val="Times New Roman"/>
        <family val="1"/>
      </rPr>
      <t>кг</t>
    </r>
  </si>
  <si>
    <r>
      <t xml:space="preserve">800х1000х3 </t>
    </r>
    <r>
      <rPr>
        <b/>
        <sz val="12"/>
        <color rgb="FF000000"/>
        <rFont val="Times New Roman"/>
        <family val="1"/>
      </rPr>
      <t>кг</t>
    </r>
  </si>
  <si>
    <r>
      <t xml:space="preserve">800х1000х2 </t>
    </r>
    <r>
      <rPr>
        <b/>
        <sz val="12"/>
        <color rgb="FF000000"/>
        <rFont val="Times New Roman"/>
        <family val="1"/>
      </rPr>
      <t>кг</t>
    </r>
  </si>
  <si>
    <r>
      <t>бухта/</t>
    </r>
    <r>
      <rPr>
        <b/>
        <sz val="12"/>
        <color rgb="FF000000"/>
        <rFont val="Times New Roman"/>
        <family val="1"/>
      </rPr>
      <t>кг</t>
    </r>
    <r>
      <rPr>
        <sz val="12"/>
        <color indexed="8"/>
        <rFont val="Times New Roman"/>
        <family val="1"/>
      </rPr>
      <t xml:space="preserve"> диам.3-6,8,10,12,14,15,16,18,20,22,25,28,30,35,40мм</t>
    </r>
  </si>
  <si>
    <r>
      <t>бухта/</t>
    </r>
    <r>
      <rPr>
        <b/>
        <sz val="12"/>
        <color rgb="FF000000"/>
        <rFont val="Times New Roman"/>
        <family val="1"/>
      </rPr>
      <t>кг</t>
    </r>
  </si>
  <si>
    <t>Изделия огнеупорные для вращающихся печей:</t>
  </si>
  <si>
    <t>ШЦУ - 32</t>
  </si>
  <si>
    <t>ШКУ - 39</t>
  </si>
  <si>
    <t>ШПД - 39</t>
  </si>
  <si>
    <t>Изделие огнеупорное для вращающихся печей</t>
  </si>
  <si>
    <t>(ГОСТ 21436-2004)</t>
  </si>
  <si>
    <t>Материалы общего назначения:</t>
  </si>
  <si>
    <t xml:space="preserve">Пеностекло (крошка) </t>
  </si>
  <si>
    <t>Цемент</t>
  </si>
  <si>
    <r>
      <t xml:space="preserve">Цемент </t>
    </r>
    <r>
      <rPr>
        <b/>
        <sz val="12"/>
        <color rgb="FF000000"/>
        <rFont val="Times New Roman"/>
        <family val="1"/>
      </rPr>
      <t>М-400</t>
    </r>
  </si>
  <si>
    <r>
      <t xml:space="preserve">Цемент </t>
    </r>
    <r>
      <rPr>
        <b/>
        <sz val="12"/>
        <color rgb="FF000000"/>
        <rFont val="Times New Roman"/>
        <family val="1"/>
      </rPr>
      <t>М-500</t>
    </r>
  </si>
  <si>
    <r>
      <t xml:space="preserve">Цемент напрягающий </t>
    </r>
    <r>
      <rPr>
        <b/>
        <sz val="12"/>
        <color rgb="FF000000"/>
        <rFont val="Times New Roman"/>
        <family val="1"/>
      </rPr>
      <t>НЦ-20</t>
    </r>
  </si>
  <si>
    <r>
      <rPr>
        <b/>
        <sz val="12"/>
        <color rgb="FF000000"/>
        <rFont val="Times New Roman"/>
        <family val="1"/>
      </rPr>
      <t>Пеностекло</t>
    </r>
    <r>
      <rPr>
        <sz val="12"/>
        <color indexed="8"/>
        <rFont val="Times New Roman"/>
        <family val="1"/>
      </rPr>
      <t xml:space="preserve"> (крошка) </t>
    </r>
  </si>
  <si>
    <r>
      <t xml:space="preserve">Песок </t>
    </r>
    <r>
      <rPr>
        <b/>
        <sz val="12"/>
        <color rgb="FF000000"/>
        <rFont val="Times New Roman"/>
        <family val="1"/>
      </rPr>
      <t>кварцевый</t>
    </r>
  </si>
  <si>
    <t>Кварц пылевидный</t>
  </si>
  <si>
    <t>Клей</t>
  </si>
  <si>
    <t>Клей СО-40 для теплоизоляции (Avantex)</t>
  </si>
  <si>
    <t>Шпат плавиковый</t>
  </si>
  <si>
    <t>Шпат плавиковый ФК-75</t>
  </si>
  <si>
    <t>Шпат плавиковый ФК-85</t>
  </si>
  <si>
    <t>Шпат плавиковый ФК-95</t>
  </si>
  <si>
    <t>канистра 34кг</t>
  </si>
  <si>
    <t>канистра 15кг</t>
  </si>
  <si>
    <t>ведро 8 кг</t>
  </si>
  <si>
    <t>канистра 20кг</t>
  </si>
  <si>
    <t>ведро 10кг</t>
  </si>
  <si>
    <t>канистра 30кг</t>
  </si>
  <si>
    <t>2 ведра по 5кг</t>
  </si>
  <si>
    <t>рулон 15м2</t>
  </si>
  <si>
    <t>Мешковина</t>
  </si>
  <si>
    <t>рулоон 52м2</t>
  </si>
  <si>
    <t>упаковка</t>
  </si>
  <si>
    <t>мешок 25кг</t>
  </si>
  <si>
    <t>Противогололедный реагент</t>
  </si>
  <si>
    <t>Крошка гранитная</t>
  </si>
  <si>
    <t xml:space="preserve">Тележка разбрасыватель реагентов </t>
  </si>
  <si>
    <t>Сетка рабица</t>
  </si>
  <si>
    <t>Антипригарный огнеупорный состав</t>
  </si>
  <si>
    <t>Кирпич Витебский</t>
  </si>
  <si>
    <t>Аллюмоборфосфатное связующее</t>
  </si>
  <si>
    <t>Стекло жидкое</t>
  </si>
  <si>
    <t>уп</t>
  </si>
  <si>
    <t>Кирпич лекальный НТ-136</t>
  </si>
  <si>
    <t>Кирпич лекальный НТ-137</t>
  </si>
  <si>
    <t>Полочки малые НТ-079</t>
  </si>
  <si>
    <t>Полочки малые НТ-080</t>
  </si>
  <si>
    <t>Полочки малые НТ-081</t>
  </si>
  <si>
    <t>Трубка НТ-033</t>
  </si>
  <si>
    <t>Трубка НТ-067</t>
  </si>
  <si>
    <t>Трубка НТ-068</t>
  </si>
  <si>
    <t>Трубки сифонные ШС-28</t>
  </si>
  <si>
    <t>Трубки стопорные ШСП-32</t>
  </si>
  <si>
    <t>Трубки стопорные ШСП-35</t>
  </si>
  <si>
    <t>(ГОСТ 390-96)</t>
  </si>
  <si>
    <r>
      <rPr>
        <b/>
        <sz val="12"/>
        <color rgb="FF000000"/>
        <rFont val="Times New Roman"/>
        <family val="1"/>
      </rPr>
      <t xml:space="preserve">36х14 </t>
    </r>
    <r>
      <rPr>
        <sz val="12"/>
        <color indexed="8"/>
        <rFont val="Times New Roman"/>
        <family val="1"/>
      </rPr>
      <t>(ГОСТ 390-96)</t>
    </r>
  </si>
  <si>
    <r>
      <rPr>
        <b/>
        <sz val="12"/>
        <color rgb="FF000000"/>
        <rFont val="Times New Roman"/>
        <family val="1"/>
      </rPr>
      <t xml:space="preserve">56х32 </t>
    </r>
    <r>
      <rPr>
        <sz val="12"/>
        <color indexed="8"/>
        <rFont val="Times New Roman"/>
        <family val="1"/>
      </rPr>
      <t>(ГОСТ 390-96)</t>
    </r>
  </si>
  <si>
    <r>
      <rPr>
        <b/>
        <sz val="12"/>
        <color rgb="FF000000"/>
        <rFont val="Times New Roman"/>
        <family val="1"/>
      </rPr>
      <t xml:space="preserve">36х24 </t>
    </r>
    <r>
      <rPr>
        <sz val="12"/>
        <color indexed="8"/>
        <rFont val="Times New Roman"/>
        <family val="1"/>
      </rPr>
      <t>(ГОСТ 390-96)</t>
    </r>
  </si>
  <si>
    <t xml:space="preserve"> (ГОСТ 5500-2001)</t>
  </si>
  <si>
    <t>(ГОСТ 11586-2005)</t>
  </si>
  <si>
    <r>
      <t xml:space="preserve">Кирпич </t>
    </r>
    <r>
      <rPr>
        <b/>
        <sz val="12"/>
        <color rgb="FF000000"/>
        <rFont val="Times New Roman"/>
        <family val="1"/>
      </rPr>
      <t>корундовый КЛ-1,3</t>
    </r>
  </si>
  <si>
    <t>(ГОСТ 24704-94)</t>
  </si>
  <si>
    <t>Изделие корундовое легковесное</t>
  </si>
  <si>
    <t>Изделие корундовое среднеплотное (КСП-90)</t>
  </si>
  <si>
    <t>Изделие корундовое среднеплотное (КСП-96)</t>
  </si>
  <si>
    <r>
      <t xml:space="preserve">Кирпич </t>
    </r>
    <r>
      <rPr>
        <b/>
        <sz val="12"/>
        <color theme="1"/>
        <rFont val="Times New Roman"/>
        <family val="1"/>
      </rPr>
      <t>прямой №5</t>
    </r>
  </si>
  <si>
    <r>
      <rPr>
        <b/>
        <sz val="12"/>
        <color theme="1"/>
        <rFont val="Times New Roman"/>
        <family val="1"/>
      </rPr>
      <t xml:space="preserve">230х114х65 </t>
    </r>
    <r>
      <rPr>
        <sz val="12"/>
        <color theme="1"/>
        <rFont val="Times New Roman"/>
        <family val="1"/>
      </rPr>
      <t>(ГОСТ 8691-73)</t>
    </r>
  </si>
  <si>
    <r>
      <t xml:space="preserve">Кирпич </t>
    </r>
    <r>
      <rPr>
        <b/>
        <sz val="12"/>
        <color theme="1"/>
        <rFont val="Times New Roman"/>
        <family val="1"/>
      </rPr>
      <t>прямой №8</t>
    </r>
  </si>
  <si>
    <r>
      <rPr>
        <b/>
        <sz val="12"/>
        <color theme="1"/>
        <rFont val="Times New Roman"/>
        <family val="1"/>
      </rPr>
      <t xml:space="preserve">250х124х65 </t>
    </r>
    <r>
      <rPr>
        <sz val="12"/>
        <color theme="1"/>
        <rFont val="Times New Roman"/>
        <family val="1"/>
      </rPr>
      <t>(ГОСТ 8691-73)</t>
    </r>
  </si>
  <si>
    <t>Пеностекло (крошка)     биг-бэг 1м3 на заказ</t>
  </si>
  <si>
    <t>2650 руб./уп</t>
  </si>
  <si>
    <t>3800 руб./уп</t>
  </si>
  <si>
    <t>980 руб./кг</t>
  </si>
  <si>
    <t>420 руб/кг</t>
  </si>
  <si>
    <t>32 руб/шт.</t>
  </si>
  <si>
    <t>198 руб/м2</t>
  </si>
  <si>
    <t>78 руб/м2</t>
  </si>
  <si>
    <t>380 руб/кг</t>
  </si>
  <si>
    <t>3200 руб/уп</t>
  </si>
  <si>
    <t>35000 руб/тн</t>
  </si>
  <si>
    <t xml:space="preserve">920 руб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</si>
</sst>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[$руб.-419];[Red]\-#,##0.00[$руб.-419]"/>
    <numFmt numFmtId="165" formatCode="000000"/>
    <numFmt numFmtId="166" formatCode="#,##0.00\ [$руб.-419];[Red]\-#,##0.00\ [$руб.-419]"/>
    <numFmt numFmtId="167" formatCode="0.0"/>
  </numFmts>
  <fonts count="22">
    <font>
      <sz val="11"/>
      <color indexed="8"/>
      <name val="Arial Cyr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i/>
      <sz val="16"/>
      <color indexed="8"/>
      <name val="Arial Cyr1"/>
      <charset val="204"/>
    </font>
    <font>
      <b/>
      <i/>
      <u/>
      <sz val="11"/>
      <color indexed="8"/>
      <name val="Arial Cyr1"/>
      <charset val="204"/>
    </font>
    <font>
      <sz val="10"/>
      <color indexed="8"/>
      <name val="Arial Cyr1"/>
      <charset val="204"/>
    </font>
    <font>
      <b/>
      <sz val="8"/>
      <color indexed="8"/>
      <name val="Arial Cyr1"/>
      <charset val="204"/>
    </font>
    <font>
      <b/>
      <i/>
      <sz val="10"/>
      <color indexed="8"/>
      <name val="Arial Cyr1"/>
      <charset val="204"/>
    </font>
    <font>
      <b/>
      <sz val="10"/>
      <color indexed="8"/>
      <name val="Arial Cyr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/>
      <sz val="11"/>
      <color theme="10"/>
      <name val="Arial Cyr1"/>
      <charset val="204"/>
    </font>
    <font>
      <b/>
      <sz val="12"/>
      <color rgb="FF000000"/>
      <name val="Times New Roman"/>
      <family val="1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  <font>
      <b/>
      <sz val="11"/>
      <color indexed="8"/>
      <name val="Arial Cyr1"/>
      <charset val="204"/>
    </font>
    <font>
      <sz val="12"/>
      <color rgb="FF000000"/>
      <name val="Times New Roman"/>
      <family val="1"/>
    </font>
    <font>
      <sz val="10"/>
      <color rgb="FF000000"/>
      <name val="Arial Cyr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232">
    <xf numFmtId="0" fontId="0" fillId="0" borderId="0" xfId="0"/>
    <xf numFmtId="0" fontId="0" fillId="0" borderId="0" xfId="0" applyBorder="1"/>
    <xf numFmtId="0" fontId="9" fillId="0" borderId="0" xfId="0" applyFont="1"/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/>
    </xf>
    <xf numFmtId="0" fontId="12" fillId="0" borderId="15" xfId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16" fillId="2" borderId="0" xfId="0" applyFont="1" applyFill="1"/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1" applyFill="1" applyBorder="1" applyAlignment="1">
      <alignment horizontal="center" vertical="center"/>
    </xf>
    <xf numFmtId="0" fontId="9" fillId="0" borderId="0" xfId="0" applyFont="1" applyFill="1"/>
    <xf numFmtId="0" fontId="12" fillId="0" borderId="15" xfId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16" fillId="0" borderId="20" xfId="0" applyFont="1" applyBorder="1" applyAlignment="1">
      <alignment wrapText="1"/>
    </xf>
    <xf numFmtId="0" fontId="5" fillId="2" borderId="6" xfId="0" applyFont="1" applyFill="1" applyBorder="1"/>
    <xf numFmtId="0" fontId="14" fillId="2" borderId="1" xfId="0" applyFont="1" applyFill="1" applyBorder="1"/>
    <xf numFmtId="0" fontId="5" fillId="2" borderId="1" xfId="0" applyFont="1" applyFill="1" applyBorder="1"/>
    <xf numFmtId="0" fontId="8" fillId="2" borderId="6" xfId="0" applyFont="1" applyFill="1" applyBorder="1"/>
    <xf numFmtId="0" fontId="15" fillId="3" borderId="1" xfId="0" applyNumberFormat="1" applyFont="1" applyFill="1" applyBorder="1"/>
    <xf numFmtId="0" fontId="15" fillId="4" borderId="24" xfId="0" applyNumberFormat="1" applyFont="1" applyFill="1" applyBorder="1"/>
    <xf numFmtId="0" fontId="14" fillId="3" borderId="24" xfId="0" applyNumberFormat="1" applyFont="1" applyFill="1" applyBorder="1"/>
    <xf numFmtId="0" fontId="5" fillId="3" borderId="5" xfId="0" applyNumberFormat="1" applyFont="1" applyFill="1" applyBorder="1"/>
    <xf numFmtId="0" fontId="8" fillId="3" borderId="1" xfId="0" applyFont="1" applyFill="1" applyBorder="1"/>
    <xf numFmtId="0" fontId="5" fillId="3" borderId="24" xfId="0" applyFont="1" applyFill="1" applyBorder="1"/>
    <xf numFmtId="0" fontId="5" fillId="3" borderId="5" xfId="0" applyFont="1" applyFill="1" applyBorder="1"/>
    <xf numFmtId="0" fontId="5" fillId="0" borderId="0" xfId="0" applyFont="1"/>
    <xf numFmtId="0" fontId="8" fillId="0" borderId="0" xfId="0" applyFont="1"/>
    <xf numFmtId="0" fontId="15" fillId="3" borderId="24" xfId="0" applyNumberFormat="1" applyFont="1" applyFill="1" applyBorder="1"/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5" fillId="3" borderId="25" xfId="0" applyNumberFormat="1" applyFont="1" applyFill="1" applyBorder="1"/>
    <xf numFmtId="0" fontId="5" fillId="3" borderId="32" xfId="0" applyFont="1" applyFill="1" applyBorder="1"/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right"/>
    </xf>
    <xf numFmtId="0" fontId="15" fillId="3" borderId="32" xfId="0" applyNumberFormat="1" applyFont="1" applyFill="1" applyBorder="1"/>
    <xf numFmtId="0" fontId="6" fillId="5" borderId="20" xfId="0" applyFont="1" applyFill="1" applyBorder="1"/>
    <xf numFmtId="0" fontId="14" fillId="0" borderId="3" xfId="0" applyFont="1" applyBorder="1"/>
    <xf numFmtId="0" fontId="8" fillId="5" borderId="20" xfId="0" applyFont="1" applyFill="1" applyBorder="1"/>
    <xf numFmtId="0" fontId="15" fillId="0" borderId="3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6" fillId="5" borderId="22" xfId="0" applyFont="1" applyFill="1" applyBorder="1" applyAlignment="1"/>
    <xf numFmtId="0" fontId="6" fillId="5" borderId="23" xfId="0" applyFont="1" applyFill="1" applyBorder="1" applyAlignment="1"/>
    <xf numFmtId="0" fontId="5" fillId="2" borderId="3" xfId="0" applyFont="1" applyFill="1" applyBorder="1"/>
    <xf numFmtId="0" fontId="9" fillId="0" borderId="5" xfId="0" applyFont="1" applyBorder="1" applyAlignment="1">
      <alignment horizontal="center" vertical="center"/>
    </xf>
    <xf numFmtId="0" fontId="5" fillId="2" borderId="7" xfId="0" applyFont="1" applyFill="1" applyBorder="1"/>
    <xf numFmtId="0" fontId="5" fillId="2" borderId="2" xfId="0" applyFont="1" applyFill="1" applyBorder="1"/>
    <xf numFmtId="165" fontId="1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5" fillId="2" borderId="8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24" xfId="0" applyFont="1" applyFill="1" applyBorder="1"/>
    <xf numFmtId="0" fontId="5" fillId="2" borderId="4" xfId="0" applyFont="1" applyFill="1" applyBorder="1"/>
    <xf numFmtId="0" fontId="5" fillId="2" borderId="25" xfId="0" applyFont="1" applyFill="1" applyBorder="1"/>
    <xf numFmtId="0" fontId="5" fillId="3" borderId="5" xfId="0" applyFont="1" applyFill="1" applyBorder="1" applyAlignment="1"/>
    <xf numFmtId="0" fontId="8" fillId="3" borderId="5" xfId="0" applyFont="1" applyFill="1" applyBorder="1" applyAlignment="1"/>
    <xf numFmtId="0" fontId="10" fillId="0" borderId="5" xfId="0" applyFont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5" fillId="2" borderId="32" xfId="0" applyFont="1" applyFill="1" applyBorder="1"/>
    <xf numFmtId="0" fontId="5" fillId="2" borderId="33" xfId="0" applyFont="1" applyFill="1" applyBorder="1"/>
    <xf numFmtId="0" fontId="5" fillId="2" borderId="15" xfId="0" applyFont="1" applyFill="1" applyBorder="1"/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6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0" fillId="0" borderId="64" xfId="0" applyBorder="1"/>
    <xf numFmtId="0" fontId="0" fillId="0" borderId="41" xfId="0" applyBorder="1"/>
    <xf numFmtId="0" fontId="0" fillId="0" borderId="65" xfId="0" applyBorder="1"/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left" vertical="center"/>
    </xf>
    <xf numFmtId="0" fontId="13" fillId="8" borderId="14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166" fontId="8" fillId="3" borderId="24" xfId="0" applyNumberFormat="1" applyFont="1" applyFill="1" applyBorder="1" applyAlignment="1">
      <alignment horizontal="center"/>
    </xf>
    <xf numFmtId="166" fontId="8" fillId="3" borderId="5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8" fillId="3" borderId="24" xfId="0" applyNumberFormat="1" applyFont="1" applyFill="1" applyBorder="1" applyAlignment="1">
      <alignment horizontal="center"/>
    </xf>
    <xf numFmtId="164" fontId="8" fillId="3" borderId="53" xfId="0" applyNumberFormat="1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/>
    </xf>
    <xf numFmtId="0" fontId="8" fillId="6" borderId="36" xfId="0" applyFont="1" applyFill="1" applyBorder="1" applyAlignment="1">
      <alignment horizontal="left"/>
    </xf>
    <xf numFmtId="0" fontId="8" fillId="6" borderId="31" xfId="0" applyFont="1" applyFill="1" applyBorder="1" applyAlignment="1">
      <alignment horizontal="left"/>
    </xf>
    <xf numFmtId="0" fontId="5" fillId="6" borderId="31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/>
    </xf>
    <xf numFmtId="0" fontId="8" fillId="3" borderId="58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left" vertical="center"/>
    </xf>
    <xf numFmtId="0" fontId="14" fillId="6" borderId="33" xfId="0" applyFont="1" applyFill="1" applyBorder="1" applyAlignment="1">
      <alignment horizontal="left" vertical="center"/>
    </xf>
    <xf numFmtId="0" fontId="14" fillId="6" borderId="28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167" fontId="5" fillId="4" borderId="37" xfId="0" applyNumberFormat="1" applyFont="1" applyFill="1" applyBorder="1" applyAlignment="1">
      <alignment horizontal="center"/>
    </xf>
    <xf numFmtId="167" fontId="5" fillId="4" borderId="38" xfId="0" applyNumberFormat="1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167" fontId="5" fillId="4" borderId="16" xfId="0" applyNumberFormat="1" applyFont="1" applyFill="1" applyBorder="1" applyAlignment="1">
      <alignment horizontal="center"/>
    </xf>
    <xf numFmtId="167" fontId="5" fillId="4" borderId="35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</cellXfs>
  <cellStyles count="6">
    <cellStyle name="Гиперссылка" xfId="1" builtinId="8"/>
    <cellStyle name="Обычный" xfId="0" builtinId="0"/>
    <cellStyle name="Heading" xfId="2" xr:uid="{00000000-0005-0000-0000-000002000000}"/>
    <cellStyle name="Heading1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25401</xdr:rowOff>
    </xdr:from>
    <xdr:to>
      <xdr:col>10</xdr:col>
      <xdr:colOff>482600</xdr:colOff>
      <xdr:row>10</xdr:row>
      <xdr:rowOff>353090</xdr:rowOff>
    </xdr:to>
    <xdr:pic>
      <xdr:nvPicPr>
        <xdr:cNvPr id="3081" name="Рисунок 8">
          <a:extLst>
            <a:ext uri="{FF2B5EF4-FFF2-40B4-BE49-F238E27FC236}">
              <a16:creationId xmlns:a16="http://schemas.microsoft.com/office/drawing/2014/main" id="{E5D9CA2A-A780-2F4B-A54C-54DFA6B8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25401"/>
          <a:ext cx="14185899" cy="23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gneypor.ru/kirpich-periklazoxromitovyj-pxss-pxsp-pxsu-pxsut-pxsst-19" TargetMode="External"/><Relationship Id="rId21" Type="http://schemas.openxmlformats.org/officeDocument/2006/relationships/hyperlink" Target="https://ogneypor.ru/kirpich-ogneupornyj-shamotnyj-marki-sha-shb-23" TargetMode="External"/><Relationship Id="rId42" Type="http://schemas.openxmlformats.org/officeDocument/2006/relationships/hyperlink" Target="https://ogneypor.ru/kirpich-ogneupornyj-shamotnyj-marki-sha-shb-52" TargetMode="External"/><Relationship Id="rId63" Type="http://schemas.openxmlformats.org/officeDocument/2006/relationships/hyperlink" Target="https://ogneypor.ru/kirpich-ogneupornyj-shamotnyj-marki-sha-shb-70" TargetMode="External"/><Relationship Id="rId84" Type="http://schemas.openxmlformats.org/officeDocument/2006/relationships/hyperlink" Target="https://ogneypor.ru/uploads/fbht/5040-96.doc" TargetMode="External"/><Relationship Id="rId138" Type="http://schemas.openxmlformats.org/officeDocument/2006/relationships/hyperlink" Target="https://ogneypor.ru/kirpich-periklazoxromitovyj-pxss-pxsp-pxsu-pxsut-pxsst-40" TargetMode="External"/><Relationship Id="rId159" Type="http://schemas.openxmlformats.org/officeDocument/2006/relationships/hyperlink" Target="https://ogneypor.ru/uploads/fbht/54312-2011.pdf" TargetMode="External"/><Relationship Id="rId170" Type="http://schemas.openxmlformats.org/officeDocument/2006/relationships/hyperlink" Target="https://ogneypor.ru/glina-molotaya-pgb" TargetMode="External"/><Relationship Id="rId191" Type="http://schemas.openxmlformats.org/officeDocument/2006/relationships/hyperlink" Target="https://ogneypor.ru/uploads/fbht/gost-23619-79.pdf" TargetMode="External"/><Relationship Id="rId205" Type="http://schemas.openxmlformats.org/officeDocument/2006/relationships/hyperlink" Target="https://ogneypor.ru/gc-40" TargetMode="External"/><Relationship Id="rId226" Type="http://schemas.openxmlformats.org/officeDocument/2006/relationships/hyperlink" Target="https://ogneypor.ru/uploads/fbht/390-96.pdf" TargetMode="External"/><Relationship Id="rId107" Type="http://schemas.openxmlformats.org/officeDocument/2006/relationships/hyperlink" Target="https://ogneypor.ru/uploads/fbht/gost-10888-93.pdf" TargetMode="External"/><Relationship Id="rId11" Type="http://schemas.openxmlformats.org/officeDocument/2006/relationships/hyperlink" Target="https://ogneypor.ru/kirpich-ogneupornyj-shamotnyj-marki-sha-shb-10" TargetMode="External"/><Relationship Id="rId32" Type="http://schemas.openxmlformats.org/officeDocument/2006/relationships/hyperlink" Target="https://ogneypor.ru/kirpich-ogneupornyj-shamotnyj-marki-sha-shb-42" TargetMode="External"/><Relationship Id="rId53" Type="http://schemas.openxmlformats.org/officeDocument/2006/relationships/hyperlink" Target="https://ogneypor.ru/uploads/19616.pdf" TargetMode="External"/><Relationship Id="rId74" Type="http://schemas.openxmlformats.org/officeDocument/2006/relationships/hyperlink" Target="https://ogneypor.ru/kirpich-gorelochnyj-102" TargetMode="External"/><Relationship Id="rId128" Type="http://schemas.openxmlformats.org/officeDocument/2006/relationships/hyperlink" Target="https://ogneypor.ru/kirpich-periklazoxromitovyj-pxss-pxsp-pxsu-pxsut-pxsst-30" TargetMode="External"/><Relationship Id="rId149" Type="http://schemas.openxmlformats.org/officeDocument/2006/relationships/hyperlink" Target="https://ogneypor.ru/uploads/fbht/17249.PDF" TargetMode="External"/><Relationship Id="rId5" Type="http://schemas.openxmlformats.org/officeDocument/2006/relationships/hyperlink" Target="https://ogneypor.ru/kirpich-ogneupornyj-shamotnyj-marki-sha-shb-4" TargetMode="External"/><Relationship Id="rId95" Type="http://schemas.openxmlformats.org/officeDocument/2006/relationships/hyperlink" Target="https://ogneypor.ru/produkcziya/kirpich-ogneupornyj-shamotnyj-legkovesnyj-shl/kirpich-ultralegkovesnyj-shamotnyj-shl-04/ultralegkovesnyie-shamotnyie-ogneuporyi-marki-shl-0,4-&#8470;22" TargetMode="External"/><Relationship Id="rId160" Type="http://schemas.openxmlformats.org/officeDocument/2006/relationships/hyperlink" Target="https://ogneypor.ru/1-9-kirpich-pryamoj" TargetMode="External"/><Relationship Id="rId181" Type="http://schemas.openxmlformats.org/officeDocument/2006/relationships/hyperlink" Target="https://ogneypor.ru/uploads/fbht/gost-13236-83.pdf" TargetMode="External"/><Relationship Id="rId216" Type="http://schemas.openxmlformats.org/officeDocument/2006/relationships/hyperlink" Target="https://ogneypor.ru/uploads/fbht/gost-12871-93.pdf" TargetMode="External"/><Relationship Id="rId22" Type="http://schemas.openxmlformats.org/officeDocument/2006/relationships/hyperlink" Target="https://ogneypor.ru/kirpich-ogneupornyj-shamotnyj-marki-sha-shb-24" TargetMode="External"/><Relationship Id="rId43" Type="http://schemas.openxmlformats.org/officeDocument/2006/relationships/hyperlink" Target="https://ogneypor.ru/kirpich-ogneupornyj-shamotnyj-marki-sha-shb-53" TargetMode="External"/><Relationship Id="rId64" Type="http://schemas.openxmlformats.org/officeDocument/2006/relationships/hyperlink" Target="https://ogneypor.ru/uploads/19616.pdf" TargetMode="External"/><Relationship Id="rId118" Type="http://schemas.openxmlformats.org/officeDocument/2006/relationships/hyperlink" Target="https://ogneypor.ru/kirpich-periklazoxromitovyj-pxss-pxsp-pxsu-pxsut-pxsst-20" TargetMode="External"/><Relationship Id="rId139" Type="http://schemas.openxmlformats.org/officeDocument/2006/relationships/hyperlink" Target="https://ogneypor.ru/kirpich-periklazoxromitovyj-pxss-pxsp-pxsu-pxsut-pxsst-41" TargetMode="External"/><Relationship Id="rId85" Type="http://schemas.openxmlformats.org/officeDocument/2006/relationships/hyperlink" Target="https://ogneypor.ru/kirpich-mullito-korundovyj-legkovesnyj-mkrl-08-5" TargetMode="External"/><Relationship Id="rId150" Type="http://schemas.openxmlformats.org/officeDocument/2006/relationships/hyperlink" Target="https://ogneypor.ru/uploads/fbht/17249.PDF" TargetMode="External"/><Relationship Id="rId171" Type="http://schemas.openxmlformats.org/officeDocument/2006/relationships/hyperlink" Target="https://ogneypor.ru/glina-molotaya-pgb" TargetMode="External"/><Relationship Id="rId192" Type="http://schemas.openxmlformats.org/officeDocument/2006/relationships/hyperlink" Target="https://ogneypor.ru/vysokotemperaturnye-materialy-i-vysokotemperaturnaya-izolyaciya/vojlok-mkrv-200" TargetMode="External"/><Relationship Id="rId206" Type="http://schemas.openxmlformats.org/officeDocument/2006/relationships/hyperlink" Target="https://ogneypor.ru/cement-vysokoglinozemistyj-magnezialnyj-vgmc-i-1700" TargetMode="External"/><Relationship Id="rId227" Type="http://schemas.openxmlformats.org/officeDocument/2006/relationships/hyperlink" Target="https://ogneypor.ru/uploads/fbht/390-96.pdf" TargetMode="External"/><Relationship Id="rId12" Type="http://schemas.openxmlformats.org/officeDocument/2006/relationships/hyperlink" Target="http://ogneypor.ru/uploads/19616.pdf" TargetMode="External"/><Relationship Id="rId33" Type="http://schemas.openxmlformats.org/officeDocument/2006/relationships/hyperlink" Target="https://ogneypor.ru/kirpich-ogneupornyj-shamotnyj-marki-sha-shb-46" TargetMode="External"/><Relationship Id="rId108" Type="http://schemas.openxmlformats.org/officeDocument/2006/relationships/hyperlink" Target="https://ogneypor.ru/kirpich-periklazoxromitovyj-pxss-pxsp-pxsu-pxsut-pxsst-10" TargetMode="External"/><Relationship Id="rId129" Type="http://schemas.openxmlformats.org/officeDocument/2006/relationships/hyperlink" Target="https://ogneypor.ru/kirpich-periklazoxromitovyj-pxss-pxsp-pxsu-pxsut-pxsst-31" TargetMode="External"/><Relationship Id="rId54" Type="http://schemas.openxmlformats.org/officeDocument/2006/relationships/hyperlink" Target="https://ogneypor.ru/uploads/19616.pdf" TargetMode="External"/><Relationship Id="rId75" Type="http://schemas.openxmlformats.org/officeDocument/2006/relationships/hyperlink" Target="https://ogneypor.ru/kirpich-ogneupornyj-shamotnyj-legkovesnyj-teploizolyacionnyj-marki-shl" TargetMode="External"/><Relationship Id="rId96" Type="http://schemas.openxmlformats.org/officeDocument/2006/relationships/hyperlink" Target="https://ogneypor.ru/produkcziya/kirpich-ogneupornyj-shamotnyj-legkovesnyj-shl/kirpich-ultralegkovesnyj-shamotnyj-shl-04/ultralegkovesnyie-shamotnyie-ogneuporyi-marki-shl-0,4-&#8470;23" TargetMode="External"/><Relationship Id="rId140" Type="http://schemas.openxmlformats.org/officeDocument/2006/relationships/hyperlink" Target="https://ogneypor.ru/kirpich-periklazoxromitovyj-pxss-pxsp-pxsu-pxsut-pxsst-42" TargetMode="External"/><Relationship Id="rId161" Type="http://schemas.openxmlformats.org/officeDocument/2006/relationships/hyperlink" Target="https://ogneypor.ru/1-9-kirpich-pryamoj" TargetMode="External"/><Relationship Id="rId182" Type="http://schemas.openxmlformats.org/officeDocument/2006/relationships/hyperlink" Target="https://ogneypor.ru/zapolnitel-periklazoxromitovyj-zpx" TargetMode="External"/><Relationship Id="rId217" Type="http://schemas.openxmlformats.org/officeDocument/2006/relationships/hyperlink" Target="https://ogneypor.ru/asbest-a-6-30" TargetMode="External"/><Relationship Id="rId6" Type="http://schemas.openxmlformats.org/officeDocument/2006/relationships/hyperlink" Target="https://ogneypor.ru/kirpich-ogneupornyj-shamotnyj-marki-sha-shb-5" TargetMode="External"/><Relationship Id="rId23" Type="http://schemas.openxmlformats.org/officeDocument/2006/relationships/hyperlink" Target="https://ogneypor.ru/kirpich-ogneupornyj-shamotnyj-marki-sha-shb-25" TargetMode="External"/><Relationship Id="rId119" Type="http://schemas.openxmlformats.org/officeDocument/2006/relationships/hyperlink" Target="https://ogneypor.ru/kirpich-periklazoxromitovyj-pxss-pxsp-pxsu-pxsut-pxsst-21" TargetMode="External"/><Relationship Id="rId44" Type="http://schemas.openxmlformats.org/officeDocument/2006/relationships/hyperlink" Target="https://ogneypor.ru/kirpich-ogneupornyj-shamotnyj-marki-sha-shb-54" TargetMode="External"/><Relationship Id="rId65" Type="http://schemas.openxmlformats.org/officeDocument/2006/relationships/hyperlink" Target="https://ogneypor.ru/kirpich-ogneupornyj-shamotnyj-marki-sha-shb-94" TargetMode="External"/><Relationship Id="rId86" Type="http://schemas.openxmlformats.org/officeDocument/2006/relationships/hyperlink" Target="https://ogneypor.ru/kirpich-ultralegkovesnyj-shamotno-talkovyj-shtl-06-5" TargetMode="External"/><Relationship Id="rId130" Type="http://schemas.openxmlformats.org/officeDocument/2006/relationships/hyperlink" Target="https://ogneypor.ru/kirpich-periklazoxromitovyj-pxss-pxsp-pxsu-pxsut-pxsst-32" TargetMode="External"/><Relationship Id="rId151" Type="http://schemas.openxmlformats.org/officeDocument/2006/relationships/hyperlink" Target="https://ogneypor.ru/p91-1" TargetMode="External"/><Relationship Id="rId172" Type="http://schemas.openxmlformats.org/officeDocument/2006/relationships/hyperlink" Target="https://ogneypor.ru/produkcziya/neformovannye-ogneupory/bentonit/" TargetMode="External"/><Relationship Id="rId193" Type="http://schemas.openxmlformats.org/officeDocument/2006/relationships/hyperlink" Target="https://ogneypor.ru/vysokotemperaturnye-materialy-i-vysokotemperaturnaya-izolyaciya/vata-mkrr-130" TargetMode="External"/><Relationship Id="rId207" Type="http://schemas.openxmlformats.org/officeDocument/2006/relationships/hyperlink" Target="https://ogneypor.ru/shaon-shnur" TargetMode="External"/><Relationship Id="rId228" Type="http://schemas.openxmlformats.org/officeDocument/2006/relationships/hyperlink" Target="https://ogneypor.ru/uploads/1234/11586-2005%20-1.pdf" TargetMode="External"/><Relationship Id="rId13" Type="http://schemas.openxmlformats.org/officeDocument/2006/relationships/hyperlink" Target="https://ogneypor.ru/kirpich-ogneupornyj-shamotnyj-marki-sha-shb-12" TargetMode="External"/><Relationship Id="rId109" Type="http://schemas.openxmlformats.org/officeDocument/2006/relationships/hyperlink" Target="https://ogneypor.ru/kirpich-periklazoxromitovyj-pxss-pxsp-pxsu-pxsut-pxsst-11" TargetMode="External"/><Relationship Id="rId34" Type="http://schemas.openxmlformats.org/officeDocument/2006/relationships/hyperlink" Target="https://ogneypor.ru/kirpich-ogneupornyj-shamotnyj-marki-sha-shb-48" TargetMode="External"/><Relationship Id="rId55" Type="http://schemas.openxmlformats.org/officeDocument/2006/relationships/hyperlink" Target="https://ogneypor.ru/kirpich-ogneupornyj-shamotnyj-marki-sha-shb-60" TargetMode="External"/><Relationship Id="rId76" Type="http://schemas.openxmlformats.org/officeDocument/2006/relationships/hyperlink" Target="https://ogneypor.ru/uploads/fbht/5040-96.doc" TargetMode="External"/><Relationship Id="rId97" Type="http://schemas.openxmlformats.org/officeDocument/2006/relationships/hyperlink" Target="https://ogneypor.ru/produkcziya/kirpich-ogneupornyj-shamotnyj-legkovesnyj-shl/kirpich-ultralegkovesnyj-shamotnyj-shl-04/ultralegkovesnyie-shamotnyie-ogneuporyi-marki-shl-0,4-&#8470;45" TargetMode="External"/><Relationship Id="rId120" Type="http://schemas.openxmlformats.org/officeDocument/2006/relationships/hyperlink" Target="https://ogneypor.ru/kirpich-periklazoxromitovyj-pxss-pxsp-pxsu-pxsut-pxsst-22" TargetMode="External"/><Relationship Id="rId141" Type="http://schemas.openxmlformats.org/officeDocument/2006/relationships/hyperlink" Target="https://ogneypor.ru/uploads/fbht/gost-10888-93.pdf" TargetMode="External"/><Relationship Id="rId7" Type="http://schemas.openxmlformats.org/officeDocument/2006/relationships/hyperlink" Target="https://ogneypor.ru/kirpich-ogneupornyj-shamotnyj-marki-sha-shb-6" TargetMode="External"/><Relationship Id="rId162" Type="http://schemas.openxmlformats.org/officeDocument/2006/relationships/hyperlink" Target="https://ogneypor.ru/mertel-shamotnyj-alyumosilikatnyj-marki-msh-39" TargetMode="External"/><Relationship Id="rId183" Type="http://schemas.openxmlformats.org/officeDocument/2006/relationships/hyperlink" Target="https://ogneypor.ru/zapolnitel-xromitoperiklazovyj-zxp" TargetMode="External"/><Relationship Id="rId218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4" Type="http://schemas.openxmlformats.org/officeDocument/2006/relationships/hyperlink" Target="https://ogneypor.ru/kirpich-ogneupornyj-shamotnyj-marki-sha-shb-33" TargetMode="External"/><Relationship Id="rId45" Type="http://schemas.openxmlformats.org/officeDocument/2006/relationships/hyperlink" Target="https://ogneypor.ru/uploads/19616.pdf" TargetMode="External"/><Relationship Id="rId66" Type="http://schemas.openxmlformats.org/officeDocument/2006/relationships/hyperlink" Target="https://ogneypor.ru/kirpich-ogneupornyj-shamotnyj-marki-sha-shb-95" TargetMode="External"/><Relationship Id="rId87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5" TargetMode="External"/><Relationship Id="rId110" Type="http://schemas.openxmlformats.org/officeDocument/2006/relationships/hyperlink" Target="https://ogneypor.ru/kirpich-periklazoxromitovyj-pxss-pxsp-pxsu-pxsut-pxsst-12" TargetMode="External"/><Relationship Id="rId131" Type="http://schemas.openxmlformats.org/officeDocument/2006/relationships/hyperlink" Target="https://ogneypor.ru/kirpich-periklazoxromitovyj-pxss-pxsp-pxsu-pxsut-pxsst-33" TargetMode="External"/><Relationship Id="rId152" Type="http://schemas.openxmlformats.org/officeDocument/2006/relationships/hyperlink" Target="https://ogneypor.ru/p91-1516" TargetMode="External"/><Relationship Id="rId173" Type="http://schemas.openxmlformats.org/officeDocument/2006/relationships/hyperlink" Target="https://ogneypor.ru/plity-vermikulitovye-pvtn-1200x600x30-100" TargetMode="External"/><Relationship Id="rId194" Type="http://schemas.openxmlformats.org/officeDocument/2006/relationships/hyperlink" Target="https://ogneypor.ru/uploads/fbht/gost-23619-79.pdf" TargetMode="External"/><Relationship Id="rId208" Type="http://schemas.openxmlformats.org/officeDocument/2006/relationships/hyperlink" Target="https://ogneypor.ru/uploads/fbht/gost-1779-83.pdf" TargetMode="External"/><Relationship Id="rId229" Type="http://schemas.openxmlformats.org/officeDocument/2006/relationships/hyperlink" Target="https://ogneypor.ru/uploads/fbht/5500-2001.doc" TargetMode="External"/><Relationship Id="rId14" Type="http://schemas.openxmlformats.org/officeDocument/2006/relationships/hyperlink" Target="https://ogneypor.ru/kirpich-ogneupornyj-shamotnyj-marki-sha-shb-13" TargetMode="External"/><Relationship Id="rId35" Type="http://schemas.openxmlformats.org/officeDocument/2006/relationships/hyperlink" Target="https://ogneypor.ru/kirpich-ogneupornyj-shamotnyj-marki-sha-shb-43" TargetMode="External"/><Relationship Id="rId56" Type="http://schemas.openxmlformats.org/officeDocument/2006/relationships/hyperlink" Target="https://ogneypor.ru/kirpich-ogneupornyj-shamotnyj-marki-sha-shb-61" TargetMode="External"/><Relationship Id="rId77" Type="http://schemas.openxmlformats.org/officeDocument/2006/relationships/hyperlink" Target="https://ogneypor.ru/uploads/fbht/5040-96.doc" TargetMode="External"/><Relationship Id="rId100" Type="http://schemas.openxmlformats.org/officeDocument/2006/relationships/hyperlink" Target="https://ogneypor.ru/uploads/fbht/gost-10888-93.pdf" TargetMode="External"/><Relationship Id="rId8" Type="http://schemas.openxmlformats.org/officeDocument/2006/relationships/hyperlink" Target="https://ogneypor.ru/kirpich-ogneupornyj-shamotnyj-marki-sha-shb-7" TargetMode="External"/><Relationship Id="rId98" Type="http://schemas.openxmlformats.org/officeDocument/2006/relationships/hyperlink" Target="https://ogneypor.ru/produkcziya/kirpich-ogneupornyj-shamotnyj-legkovesnyj-shl/kirpich-ultralegkovesnyj-shamotnyj-shl-04/ultralegkovesnyie-shamotnyie-ogneuporyi-marki-shl-0,4-&#8470;44" TargetMode="External"/><Relationship Id="rId121" Type="http://schemas.openxmlformats.org/officeDocument/2006/relationships/hyperlink" Target="https://ogneypor.ru/kirpich-periklazoxromitovyj-pxss-pxsp-pxsu-pxsut-pxsst-23" TargetMode="External"/><Relationship Id="rId142" Type="http://schemas.openxmlformats.org/officeDocument/2006/relationships/hyperlink" Target="https://ogneypor.ru/uploads/1234/5381-93.pdf" TargetMode="External"/><Relationship Id="rId163" Type="http://schemas.openxmlformats.org/officeDocument/2006/relationships/hyperlink" Target="https://ogneypor.ru/mertel-shamotnyj-alyumosilikatnyj-marki-msh-39" TargetMode="External"/><Relationship Id="rId184" Type="http://schemas.openxmlformats.org/officeDocument/2006/relationships/hyperlink" Target="https://ogneypor.ru/poroshok-magnezitovyj-ppje-88" TargetMode="External"/><Relationship Id="rId219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30" Type="http://schemas.openxmlformats.org/officeDocument/2006/relationships/hyperlink" Target="https://ogneypor.ru/uploads/fbht/5500-2001.doc" TargetMode="External"/><Relationship Id="rId25" Type="http://schemas.openxmlformats.org/officeDocument/2006/relationships/hyperlink" Target="https://ogneypor.ru/kirpich-ogneupornyj-shamotnyj-marki-sha-shb-34" TargetMode="External"/><Relationship Id="rId46" Type="http://schemas.openxmlformats.org/officeDocument/2006/relationships/hyperlink" Target="https://ogneypor.ru/uploads/19616.pdf" TargetMode="External"/><Relationship Id="rId67" Type="http://schemas.openxmlformats.org/officeDocument/2006/relationships/hyperlink" Target="https://ogneypor.ru/kirpich-ogneupornyj-shamotnyj-marki-sha-shb-96" TargetMode="External"/><Relationship Id="rId20" Type="http://schemas.openxmlformats.org/officeDocument/2006/relationships/hyperlink" Target="https://ogneypor.ru/kirpich-ogneupornyj-shamotnyj-marki-sha-shb-22" TargetMode="External"/><Relationship Id="rId41" Type="http://schemas.openxmlformats.org/officeDocument/2006/relationships/hyperlink" Target="https://ogneypor.ru/kirpich-ogneupornyj-shamotnyj-marki-sha-shb-51" TargetMode="External"/><Relationship Id="rId62" Type="http://schemas.openxmlformats.org/officeDocument/2006/relationships/hyperlink" Target="https://ogneypor.ru/kirpich-ogneupornyj-shamotnyj-marki-sha-shb-69" TargetMode="External"/><Relationship Id="rId83" Type="http://schemas.openxmlformats.org/officeDocument/2006/relationships/hyperlink" Target="https://ogneypor.ru/uploads/fbht/5040-96.doc" TargetMode="External"/><Relationship Id="rId88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6" TargetMode="External"/><Relationship Id="rId111" Type="http://schemas.openxmlformats.org/officeDocument/2006/relationships/hyperlink" Target="https://ogneypor.ru/kirpich-periklazoxromitovyj-pxss-pxsp-pxsu-pxsut-pxsst-13" TargetMode="External"/><Relationship Id="rId132" Type="http://schemas.openxmlformats.org/officeDocument/2006/relationships/hyperlink" Target="https://ogneypor.ru/kirpich-periklazoxromitovyj-pxss-pxsp-pxsu-pxsut-pxsst-34" TargetMode="External"/><Relationship Id="rId153" Type="http://schemas.openxmlformats.org/officeDocument/2006/relationships/hyperlink" Target="https://ogneypor.ru/p91-1516" TargetMode="External"/><Relationship Id="rId174" Type="http://schemas.openxmlformats.org/officeDocument/2006/relationships/hyperlink" Target="https://ogneypor.ru/plity-vermikulitovye-pvtn-1200x600x30-100" TargetMode="External"/><Relationship Id="rId179" Type="http://schemas.openxmlformats.org/officeDocument/2006/relationships/hyperlink" Target="https://ogneypor.ru/poroshok-diatomitovyj" TargetMode="External"/><Relationship Id="rId195" Type="http://schemas.openxmlformats.org/officeDocument/2006/relationships/hyperlink" Target="https://ogneypor.ru/vata-mkrr-110" TargetMode="External"/><Relationship Id="rId209" Type="http://schemas.openxmlformats.org/officeDocument/2006/relationships/hyperlink" Target="https://ogneypor.ru/asbozurit" TargetMode="External"/><Relationship Id="rId190" Type="http://schemas.openxmlformats.org/officeDocument/2006/relationships/hyperlink" Target="https://ogneypor.ru/poroshok-periklazovyj-jelektrotexnicheskij-marki-ppje-3k" TargetMode="External"/><Relationship Id="rId204" Type="http://schemas.openxmlformats.org/officeDocument/2006/relationships/hyperlink" Target="https://ogneypor.ru/pesok-perlitovyj" TargetMode="External"/><Relationship Id="rId220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25" Type="http://schemas.openxmlformats.org/officeDocument/2006/relationships/hyperlink" Target="https://ogneypor.ru/uploads/fbht/390-96.pdf" TargetMode="External"/><Relationship Id="rId15" Type="http://schemas.openxmlformats.org/officeDocument/2006/relationships/hyperlink" Target="https://ogneypor.ru/kirpich-pryamoj-polutornyj-014" TargetMode="External"/><Relationship Id="rId36" Type="http://schemas.openxmlformats.org/officeDocument/2006/relationships/hyperlink" Target="https://ogneypor.ru/kirpich-ogneupornyj-shamotnyj-marki-sha-shb-44" TargetMode="External"/><Relationship Id="rId57" Type="http://schemas.openxmlformats.org/officeDocument/2006/relationships/hyperlink" Target="https://ogneypor.ru/kirpich-pyatovyj-062" TargetMode="External"/><Relationship Id="rId106" Type="http://schemas.openxmlformats.org/officeDocument/2006/relationships/hyperlink" Target="https://ogneypor.ru/uploads/fbht/gost-10888-93.pdf" TargetMode="External"/><Relationship Id="rId127" Type="http://schemas.openxmlformats.org/officeDocument/2006/relationships/hyperlink" Target="https://ogneypor.ru/kirpich-periklazoxromitovyj-pxss-pxsp-pxsu-pxsut-pxsst-29" TargetMode="External"/><Relationship Id="rId10" Type="http://schemas.openxmlformats.org/officeDocument/2006/relationships/hyperlink" Target="https://ogneypor.ru/kirpich-ogneupornyj-shamotnyj-marki-sha-shb-9" TargetMode="External"/><Relationship Id="rId31" Type="http://schemas.openxmlformats.org/officeDocument/2006/relationships/hyperlink" Target="https://ogneypor.ru/kirpich-ogneupornyj-shamotnyj-marki-sha-shb-41" TargetMode="External"/><Relationship Id="rId52" Type="http://schemas.openxmlformats.org/officeDocument/2006/relationships/hyperlink" Target="https://ogneypor.ru/uploads/19616.pdf" TargetMode="External"/><Relationship Id="rId73" Type="http://schemas.openxmlformats.org/officeDocument/2006/relationships/hyperlink" Target="https://ogneypor.ru/kirpich-ogneupornyj-shamotnyj-marki-sha-shb-101" TargetMode="External"/><Relationship Id="rId78" Type="http://schemas.openxmlformats.org/officeDocument/2006/relationships/hyperlink" Target="https://ogneypor.ru/kirpich-ogneupornyj-shamotnyj-legkovesnyj-teploizolyacionnyj-marki-shl-" TargetMode="External"/><Relationship Id="rId94" Type="http://schemas.openxmlformats.org/officeDocument/2006/relationships/hyperlink" Target="https://ogneypor.ru/ultralegkovesnye-shamotnye-ogneupory-marki-shl-04-51" TargetMode="External"/><Relationship Id="rId99" Type="http://schemas.openxmlformats.org/officeDocument/2006/relationships/hyperlink" Target="https://ogneypor.ru/kirpich-periklazoxromitovyj-pxss-pxsp-pxsu-pxsut-pxsst-1" TargetMode="External"/><Relationship Id="rId101" Type="http://schemas.openxmlformats.org/officeDocument/2006/relationships/hyperlink" Target="https://ogneypor.ru/uploads/fbht/gost-10888-93.pdf" TargetMode="External"/><Relationship Id="rId122" Type="http://schemas.openxmlformats.org/officeDocument/2006/relationships/hyperlink" Target="https://ogneypor.ru/kirpich-periklazoxromitovyj-pxss-pxsp-pxsu-pxsut-pxsst-24" TargetMode="External"/><Relationship Id="rId143" Type="http://schemas.openxmlformats.org/officeDocument/2006/relationships/hyperlink" Target="https://ogneypor.ru/uploads/1234/5381-93.pdf" TargetMode="External"/><Relationship Id="rId148" Type="http://schemas.openxmlformats.org/officeDocument/2006/relationships/hyperlink" Target="https://ogneypor.ru/uploads/fbht/17249.PDF" TargetMode="External"/><Relationship Id="rId164" Type="http://schemas.openxmlformats.org/officeDocument/2006/relationships/hyperlink" Target="https://ogneypor.ru/mertel-shamotnyj-alyumosilikatnyj-marki-msh-36" TargetMode="External"/><Relationship Id="rId169" Type="http://schemas.openxmlformats.org/officeDocument/2006/relationships/hyperlink" Target="https://ogneypor.ru/poroshki-molotye-shamota-marok-pshbm-pshbt-pshba-i-gliny-marok-pga-pgb" TargetMode="External"/><Relationship Id="rId185" Type="http://schemas.openxmlformats.org/officeDocument/2006/relationships/hyperlink" Target="https://ogneypor.ru/poroshok-periklazovyj-jelektrotexnicheskij-marki-ppje-1m" TargetMode="External"/><Relationship Id="rId4" Type="http://schemas.openxmlformats.org/officeDocument/2006/relationships/hyperlink" Target="https://ogneypor.ru/kirpich-ogneupornyj-shamotnyj-marki-sha-shb-3" TargetMode="External"/><Relationship Id="rId9" Type="http://schemas.openxmlformats.org/officeDocument/2006/relationships/hyperlink" Target="https://ogneypor.ru/kirpich-ogneupornyj-shamotnyj-marki-sha-shb-8" TargetMode="External"/><Relationship Id="rId180" Type="http://schemas.openxmlformats.org/officeDocument/2006/relationships/hyperlink" Target="https://ogneypor.ru/uploads/fbht/gost-13236-83.pdf" TargetMode="External"/><Relationship Id="rId210" Type="http://schemas.openxmlformats.org/officeDocument/2006/relationships/hyperlink" Target="https://ogneypor.ru/shaon-shnur" TargetMode="External"/><Relationship Id="rId215" Type="http://schemas.openxmlformats.org/officeDocument/2006/relationships/hyperlink" Target="https://ogneypor.ru/kaon-asbokarton" TargetMode="External"/><Relationship Id="rId26" Type="http://schemas.openxmlformats.org/officeDocument/2006/relationships/hyperlink" Target="https://ogneypor.ru/kirpich-ogneupornyj-shamotnyj-marki-sha-shb-35" TargetMode="External"/><Relationship Id="rId231" Type="http://schemas.openxmlformats.org/officeDocument/2006/relationships/hyperlink" Target="https://ogneypor.ru/uploads/fbht/24704-94.pdf" TargetMode="External"/><Relationship Id="rId47" Type="http://schemas.openxmlformats.org/officeDocument/2006/relationships/hyperlink" Target="https://ogneypor.ru/uploads/19616.pdf" TargetMode="External"/><Relationship Id="rId68" Type="http://schemas.openxmlformats.org/officeDocument/2006/relationships/hyperlink" Target="https://ogneypor.ru/kirpich-ogneupornyj-shamotnyj-marki-sha-shb-97" TargetMode="External"/><Relationship Id="rId89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8" TargetMode="External"/><Relationship Id="rId112" Type="http://schemas.openxmlformats.org/officeDocument/2006/relationships/hyperlink" Target="https://ogneypor.ru/kirpich-periklazoxromitovyj-pxss-pxsp-pxsu-pxsut-pxsst-14" TargetMode="External"/><Relationship Id="rId133" Type="http://schemas.openxmlformats.org/officeDocument/2006/relationships/hyperlink" Target="https://ogneypor.ru/kirpich-periklazoxromitovyj-pxss-pxsp-pxsu-pxsut-pxsst-35" TargetMode="External"/><Relationship Id="rId154" Type="http://schemas.openxmlformats.org/officeDocument/2006/relationships/hyperlink" Target="https://ogneypor.ru/5-8" TargetMode="External"/><Relationship Id="rId175" Type="http://schemas.openxmlformats.org/officeDocument/2006/relationships/hyperlink" Target="https://ogneypor.ru/vermikulit-vspuchennyj-gost-12865-67" TargetMode="External"/><Relationship Id="rId196" Type="http://schemas.openxmlformats.org/officeDocument/2006/relationships/hyperlink" Target="https://ogneypor.ru/uploads/fbht/gost-23619-79.pdf" TargetMode="External"/><Relationship Id="rId200" Type="http://schemas.openxmlformats.org/officeDocument/2006/relationships/hyperlink" Target="https://ogneypor.ru/plity-perlito-cementnye-pcp" TargetMode="External"/><Relationship Id="rId16" Type="http://schemas.openxmlformats.org/officeDocument/2006/relationships/hyperlink" Target="https://ogneypor.ru/kirpich-ogneupornyj-shamotnyj-marki-sha-shb-15" TargetMode="External"/><Relationship Id="rId221" Type="http://schemas.openxmlformats.org/officeDocument/2006/relationships/hyperlink" Target="https://ogneypor.ru/uploads/1234/21436-2004.pdf" TargetMode="External"/><Relationship Id="rId37" Type="http://schemas.openxmlformats.org/officeDocument/2006/relationships/hyperlink" Target="https://ogneypor.ru/kirpich-ogneupornyj-shamotnyj-marki-sha-shb-45" TargetMode="External"/><Relationship Id="rId58" Type="http://schemas.openxmlformats.org/officeDocument/2006/relationships/hyperlink" Target="https://ogneypor.ru/kirpich-ogneupornyj-shamotnyj-marki-sha-shb-65" TargetMode="External"/><Relationship Id="rId79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22" TargetMode="External"/><Relationship Id="rId102" Type="http://schemas.openxmlformats.org/officeDocument/2006/relationships/hyperlink" Target="https://ogneypor.ru/uploads/fbht/gost-10888-93.pdf" TargetMode="External"/><Relationship Id="rId123" Type="http://schemas.openxmlformats.org/officeDocument/2006/relationships/hyperlink" Target="https://ogneypor.ru/kirpich-periklazoxromitovyj-pxss-pxsp-pxsu-pxsut-pxsst-25" TargetMode="External"/><Relationship Id="rId144" Type="http://schemas.openxmlformats.org/officeDocument/2006/relationships/hyperlink" Target="https://ogneypor.ru/xp5-1" TargetMode="External"/><Relationship Id="rId90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22" TargetMode="External"/><Relationship Id="rId165" Type="http://schemas.openxmlformats.org/officeDocument/2006/relationships/hyperlink" Target="https://ogneypor.ru/mertel-shamotnyj-alyumosilikatnyj-marki-msh-36" TargetMode="External"/><Relationship Id="rId186" Type="http://schemas.openxmlformats.org/officeDocument/2006/relationships/hyperlink" Target="https://ogneypor.ru/poroshok-periklazovyj-jelektrotexnicheskij-marki-ppje-1k" TargetMode="External"/><Relationship Id="rId211" Type="http://schemas.openxmlformats.org/officeDocument/2006/relationships/hyperlink" Target="https://ogneypor.ru/uploads/fbht/gost-1779-83.pdf" TargetMode="External"/><Relationship Id="rId232" Type="http://schemas.openxmlformats.org/officeDocument/2006/relationships/hyperlink" Target="https://ogneypor.ru/uploads/fbht/24704-94.pdf" TargetMode="External"/><Relationship Id="rId27" Type="http://schemas.openxmlformats.org/officeDocument/2006/relationships/hyperlink" Target="https://ogneypor.ru/kirpich-ogneupornyj-shamotnyj-marki-sha-shb-36" TargetMode="External"/><Relationship Id="rId48" Type="http://schemas.openxmlformats.org/officeDocument/2006/relationships/hyperlink" Target="https://ogneypor.ru/uploads/19616.pdf" TargetMode="External"/><Relationship Id="rId69" Type="http://schemas.openxmlformats.org/officeDocument/2006/relationships/hyperlink" Target="https://ogneypor.ru/uploads/19616.pdf" TargetMode="External"/><Relationship Id="rId113" Type="http://schemas.openxmlformats.org/officeDocument/2006/relationships/hyperlink" Target="https://ogneypor.ru/kirpich-periklazoxromitovyj-pxss-pxsp-pxsu-pxsut-pxsst-15" TargetMode="External"/><Relationship Id="rId134" Type="http://schemas.openxmlformats.org/officeDocument/2006/relationships/hyperlink" Target="https://ogneypor.ru/kirpich-periklazoxromitovyj-pxss-pxsp-pxsu-pxsut-pxsst-36" TargetMode="External"/><Relationship Id="rId80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23" TargetMode="External"/><Relationship Id="rId155" Type="http://schemas.openxmlformats.org/officeDocument/2006/relationships/hyperlink" Target="https://ogneypor.ru/5-8" TargetMode="External"/><Relationship Id="rId176" Type="http://schemas.openxmlformats.org/officeDocument/2006/relationships/hyperlink" Target="https://ogneypor.ru/uploads/fbht/12865-67.pdf" TargetMode="External"/><Relationship Id="rId197" Type="http://schemas.openxmlformats.org/officeDocument/2006/relationships/hyperlink" Target="https://ogneypor.ru/mullitokremnezemistye-plity-(mkrp-340)" TargetMode="External"/><Relationship Id="rId201" Type="http://schemas.openxmlformats.org/officeDocument/2006/relationships/hyperlink" Target="https://ogneypor.ru/plity-shamotno-steklovoloknistye-shvp-350" TargetMode="External"/><Relationship Id="rId222" Type="http://schemas.openxmlformats.org/officeDocument/2006/relationships/hyperlink" Target="https://ogneypor.ru/uploads/1234/21436-2004.pdf" TargetMode="External"/><Relationship Id="rId17" Type="http://schemas.openxmlformats.org/officeDocument/2006/relationships/hyperlink" Target="https://ogneypor.ru/kirpich-ogneupornyj-shamotnyj-marki-sha-shb-20" TargetMode="External"/><Relationship Id="rId38" Type="http://schemas.openxmlformats.org/officeDocument/2006/relationships/hyperlink" Target="https://ogneypor.ru/kirpich-ogneupornyj-shamotnyj-marki-sha-shb-47" TargetMode="External"/><Relationship Id="rId59" Type="http://schemas.openxmlformats.org/officeDocument/2006/relationships/hyperlink" Target="https://ogneypor.ru/kirpich-ogneupornyj-shamotnyj-marki-sha-shb-66" TargetMode="External"/><Relationship Id="rId103" Type="http://schemas.openxmlformats.org/officeDocument/2006/relationships/hyperlink" Target="https://ogneypor.ru/uploads/fbht/gost-10888-93.pdf" TargetMode="External"/><Relationship Id="rId124" Type="http://schemas.openxmlformats.org/officeDocument/2006/relationships/hyperlink" Target="https://ogneypor.ru/kirpich-periklazoxromitovyj-pxss-pxsp-pxsu-pxsut-pxsst-26" TargetMode="External"/><Relationship Id="rId70" Type="http://schemas.openxmlformats.org/officeDocument/2006/relationships/hyperlink" Target="https://ogneypor.ru/kirpich-gorelochnyj-098" TargetMode="External"/><Relationship Id="rId91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23" TargetMode="External"/><Relationship Id="rId145" Type="http://schemas.openxmlformats.org/officeDocument/2006/relationships/hyperlink" Target="https://ogneypor.ru/xp5-34" TargetMode="External"/><Relationship Id="rId166" Type="http://schemas.openxmlformats.org/officeDocument/2006/relationships/hyperlink" Target="https://ogneypor.ru/mertel-shamotnyj-alyumosilikatnyj-marki-msh-32" TargetMode="External"/><Relationship Id="rId187" Type="http://schemas.openxmlformats.org/officeDocument/2006/relationships/hyperlink" Target="https://ogneypor.ru/poroshok-periklazovyj-jelektrotexnicheskij-marki-ppje-2m" TargetMode="External"/><Relationship Id="rId1" Type="http://schemas.openxmlformats.org/officeDocument/2006/relationships/hyperlink" Target="https://ogneypor.ru/kirpich-ogneupornyj-shamotnyj-marki-sha-shb-1" TargetMode="External"/><Relationship Id="rId212" Type="http://schemas.openxmlformats.org/officeDocument/2006/relationships/hyperlink" Target="https://ogneypor.ru/uploads/fbht/gost-2850-95.pdf" TargetMode="External"/><Relationship Id="rId233" Type="http://schemas.openxmlformats.org/officeDocument/2006/relationships/hyperlink" Target="https://ogneypor.ru/uploads/fbht/24704-94.pdf" TargetMode="External"/><Relationship Id="rId28" Type="http://schemas.openxmlformats.org/officeDocument/2006/relationships/hyperlink" Target="https://ogneypor.ru/kirpich-ogneupornyj-shamotnyj-marki-sha-shb-37" TargetMode="External"/><Relationship Id="rId49" Type="http://schemas.openxmlformats.org/officeDocument/2006/relationships/hyperlink" Target="https://ogneypor.ru/uploads/19616.pdf" TargetMode="External"/><Relationship Id="rId114" Type="http://schemas.openxmlformats.org/officeDocument/2006/relationships/hyperlink" Target="https://ogneypor.ru/kirpich-periklazoxromitovyj-pxss-pxsp-pxsu-pxsut-pxsst-16" TargetMode="External"/><Relationship Id="rId60" Type="http://schemas.openxmlformats.org/officeDocument/2006/relationships/hyperlink" Target="https://ogneypor.ru/kirpich-ogneupornyj-shamotnyj-marki-sha-shb-67" TargetMode="External"/><Relationship Id="rId81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44" TargetMode="External"/><Relationship Id="rId135" Type="http://schemas.openxmlformats.org/officeDocument/2006/relationships/hyperlink" Target="https://ogneypor.ru/kirpich-periklazoxromitovyj-pxss-pxsp-pxsu-pxsut-pxsst-37" TargetMode="External"/><Relationship Id="rId156" Type="http://schemas.openxmlformats.org/officeDocument/2006/relationships/hyperlink" Target="https://ogneypor.ru/uploads/fbht/24704-94.pdf" TargetMode="External"/><Relationship Id="rId177" Type="http://schemas.openxmlformats.org/officeDocument/2006/relationships/hyperlink" Target="https://ogneypor.ru/uploads/fbht/gost-2694-78.pdf" TargetMode="External"/><Relationship Id="rId198" Type="http://schemas.openxmlformats.org/officeDocument/2006/relationships/hyperlink" Target="https://ogneypor.ru/plita-teploizolyacionnaya-mkrp-340" TargetMode="External"/><Relationship Id="rId202" Type="http://schemas.openxmlformats.org/officeDocument/2006/relationships/hyperlink" Target="https://ogneypor.ru/produkcziya/stroitelnye-materialy-obwego-naznacheniya/izvest/gashenaya-izvest" TargetMode="External"/><Relationship Id="rId223" Type="http://schemas.openxmlformats.org/officeDocument/2006/relationships/hyperlink" Target="https://ogneypor.ru/uploads/1234/21436-2004.pdf" TargetMode="External"/><Relationship Id="rId18" Type="http://schemas.openxmlformats.org/officeDocument/2006/relationships/hyperlink" Target="https://ogneypor.ru/kirpich-ogneupornyj-shamotnyj-marki-sha-shb-21" TargetMode="External"/><Relationship Id="rId39" Type="http://schemas.openxmlformats.org/officeDocument/2006/relationships/hyperlink" Target="https://ogneypor.ru/kirpich-ogneupornyj-shamotnyj-marki-sha-shb-49" TargetMode="External"/><Relationship Id="rId50" Type="http://schemas.openxmlformats.org/officeDocument/2006/relationships/hyperlink" Target="https://ogneypor.ru/uploads/19616.pdf" TargetMode="External"/><Relationship Id="rId104" Type="http://schemas.openxmlformats.org/officeDocument/2006/relationships/hyperlink" Target="https://ogneypor.ru/uploads/fbht/gost-10888-93.pdf" TargetMode="External"/><Relationship Id="rId125" Type="http://schemas.openxmlformats.org/officeDocument/2006/relationships/hyperlink" Target="https://ogneypor.ru/kirpich-periklazoxromitovyj-pxss-pxsp-pxsu-pxsut-pxsst-27" TargetMode="External"/><Relationship Id="rId146" Type="http://schemas.openxmlformats.org/officeDocument/2006/relationships/hyperlink" Target="https://ogneypor.ru/xp5-34" TargetMode="External"/><Relationship Id="rId167" Type="http://schemas.openxmlformats.org/officeDocument/2006/relationships/hyperlink" Target="https://ogneypor.ru/mertel-shamotnyj-alyumosilikatnyj-marki-msh-32" TargetMode="External"/><Relationship Id="rId188" Type="http://schemas.openxmlformats.org/officeDocument/2006/relationships/hyperlink" Target="https://ogneypor.ru/poroshok-periklazovyj-jelektrotexnicheskij-marki-ppje-3m" TargetMode="External"/><Relationship Id="rId71" Type="http://schemas.openxmlformats.org/officeDocument/2006/relationships/hyperlink" Target="https://ogneypor.ru/kirpich-ogneupornyj-shamotnyj-marki-sha-shb-99" TargetMode="External"/><Relationship Id="rId92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44" TargetMode="External"/><Relationship Id="rId213" Type="http://schemas.openxmlformats.org/officeDocument/2006/relationships/hyperlink" Target="https://ogneypor.ru/uploads/fbht/gost-2850-95.pdf" TargetMode="External"/><Relationship Id="rId234" Type="http://schemas.openxmlformats.org/officeDocument/2006/relationships/drawing" Target="../drawings/drawing1.xml"/><Relationship Id="rId2" Type="http://schemas.openxmlformats.org/officeDocument/2006/relationships/hyperlink" Target="https://ogneypor.ru/uploads/19616.pdf" TargetMode="External"/><Relationship Id="rId29" Type="http://schemas.openxmlformats.org/officeDocument/2006/relationships/hyperlink" Target="https://ogneypor.ru/kirpich-ogneupornyj-shamotnyj-marki-sha-shb-38" TargetMode="External"/><Relationship Id="rId40" Type="http://schemas.openxmlformats.org/officeDocument/2006/relationships/hyperlink" Target="https://ogneypor.ru/kirpich-ogneupornyj-shamotnyj-marki-sha-shb-50" TargetMode="External"/><Relationship Id="rId115" Type="http://schemas.openxmlformats.org/officeDocument/2006/relationships/hyperlink" Target="https://ogneypor.ru/kirpich-periklazoxromitovyj-pxss-pxsp-pxsu-pxsut-pxsst-17" TargetMode="External"/><Relationship Id="rId136" Type="http://schemas.openxmlformats.org/officeDocument/2006/relationships/hyperlink" Target="https://ogneypor.ru/kirpich-periklazoxromitovyj-pxss-pxsp-pxsu-pxsut-pxsst-38" TargetMode="External"/><Relationship Id="rId157" Type="http://schemas.openxmlformats.org/officeDocument/2006/relationships/hyperlink" Target="https://ogneypor.ru/uploads/fbht/24704-94.pdf" TargetMode="External"/><Relationship Id="rId178" Type="http://schemas.openxmlformats.org/officeDocument/2006/relationships/hyperlink" Target="https://ogneypor.ru/kirpich-penodiatomitovyj-kpd-400-230x113x65" TargetMode="External"/><Relationship Id="rId61" Type="http://schemas.openxmlformats.org/officeDocument/2006/relationships/hyperlink" Target="https://ogneypor.ru/kirpich-pyatovyj-068" TargetMode="External"/><Relationship Id="rId82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45" TargetMode="External"/><Relationship Id="rId199" Type="http://schemas.openxmlformats.org/officeDocument/2006/relationships/hyperlink" Target="https://ogneypor.ru/uploads/fbht/gost-23619-79.pdf" TargetMode="External"/><Relationship Id="rId203" Type="http://schemas.openxmlformats.org/officeDocument/2006/relationships/hyperlink" Target="https://ogneypor.ru/negashenaya-izvest" TargetMode="External"/><Relationship Id="rId19" Type="http://schemas.openxmlformats.org/officeDocument/2006/relationships/hyperlink" Target="https://ogneypor.ru/kirpich-ogneupornyj-shamotnyj-marki-sha-shb-26" TargetMode="External"/><Relationship Id="rId224" Type="http://schemas.openxmlformats.org/officeDocument/2006/relationships/hyperlink" Target="https://ogneypor.ru/uploads/fbht/390-96.pdf" TargetMode="External"/><Relationship Id="rId30" Type="http://schemas.openxmlformats.org/officeDocument/2006/relationships/hyperlink" Target="https://ogneypor.ru/kirpich-ogneupornyj-shamotnyj-marki-sha-shb-39" TargetMode="External"/><Relationship Id="rId105" Type="http://schemas.openxmlformats.org/officeDocument/2006/relationships/hyperlink" Target="https://ogneypor.ru/uploads/fbht/gost-10888-93.pdf" TargetMode="External"/><Relationship Id="rId126" Type="http://schemas.openxmlformats.org/officeDocument/2006/relationships/hyperlink" Target="https://ogneypor.ru/kirpich-periklazoxromitovyj-pxss-pxsp-pxsu-pxsut-pxsst-28" TargetMode="External"/><Relationship Id="rId147" Type="http://schemas.openxmlformats.org/officeDocument/2006/relationships/hyperlink" Target="https://ogneypor.ru/xp3-1" TargetMode="External"/><Relationship Id="rId168" Type="http://schemas.openxmlformats.org/officeDocument/2006/relationships/hyperlink" Target="https://ogneypor.ru/poroshki-molotye-shamota-marok-pshbm-pshbt-pshba-i-gliny-marok-pga-pgb" TargetMode="External"/><Relationship Id="rId51" Type="http://schemas.openxmlformats.org/officeDocument/2006/relationships/hyperlink" Target="https://ogneypor.ru/uploads/19616.pdf" TargetMode="External"/><Relationship Id="rId72" Type="http://schemas.openxmlformats.org/officeDocument/2006/relationships/hyperlink" Target="https://ogneypor.ru/kirpich-ogneupornyj-shamotnyj-marki-sha-shb-100" TargetMode="External"/><Relationship Id="rId93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45" TargetMode="External"/><Relationship Id="rId189" Type="http://schemas.openxmlformats.org/officeDocument/2006/relationships/hyperlink" Target="https://ogneypor.ru/poroshok-periklazovyj-jelektrotexnicheskij-marki-ppje-2k" TargetMode="External"/><Relationship Id="rId3" Type="http://schemas.openxmlformats.org/officeDocument/2006/relationships/hyperlink" Target="https://ogneypor.ru/kirpich-ogneupornyj-shamotnyj-marki-sha-shb-2" TargetMode="External"/><Relationship Id="rId214" Type="http://schemas.openxmlformats.org/officeDocument/2006/relationships/hyperlink" Target="https://ogneypor.ru/kaon-asbokarton" TargetMode="External"/><Relationship Id="rId116" Type="http://schemas.openxmlformats.org/officeDocument/2006/relationships/hyperlink" Target="https://ogneypor.ru/kirpich-periklazoxromitovyj-pxss-pxsp-pxsu-pxsut-pxsst-18" TargetMode="External"/><Relationship Id="rId137" Type="http://schemas.openxmlformats.org/officeDocument/2006/relationships/hyperlink" Target="https://ogneypor.ru/kirpich-periklazoxromitovyj-pxss-pxsp-pxsu-pxsut-pxsst-39" TargetMode="External"/><Relationship Id="rId158" Type="http://schemas.openxmlformats.org/officeDocument/2006/relationships/hyperlink" Target="https://ogneypor.ru/uploads/fbht/54312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L306"/>
  <sheetViews>
    <sheetView tabSelected="1" topLeftCell="A166" zoomScaleNormal="100" workbookViewId="0">
      <selection activeCell="B61" sqref="B61"/>
    </sheetView>
  </sheetViews>
  <sheetFormatPr baseColWidth="10" defaultColWidth="8.1640625" defaultRowHeight="16" outlineLevelRow="1"/>
  <cols>
    <col min="1" max="1" width="41.6640625" style="2" bestFit="1" customWidth="1"/>
    <col min="2" max="2" width="29.6640625" style="2" bestFit="1" customWidth="1"/>
    <col min="3" max="3" width="30.6640625" style="2" customWidth="1"/>
    <col min="4" max="7" width="10.83203125" style="2" customWidth="1"/>
    <col min="8" max="8" width="14.83203125" style="2" customWidth="1"/>
    <col min="9" max="9" width="10.83203125" style="2" customWidth="1"/>
    <col min="10" max="10" width="8.83203125" style="2" customWidth="1"/>
    <col min="11" max="11" width="6.5" style="2" customWidth="1"/>
    <col min="12" max="12" width="9.5" style="2" customWidth="1"/>
    <col min="13" max="16384" width="8.1640625" style="2"/>
  </cols>
  <sheetData>
    <row r="11" spans="1:12" ht="29" customHeight="1" thickBot="1"/>
    <row r="12" spans="1:12" ht="17" thickBot="1">
      <c r="A12" s="147" t="s">
        <v>121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9"/>
      <c r="L12" s="3"/>
    </row>
    <row r="13" spans="1:12">
      <c r="A13" s="89" t="s">
        <v>291</v>
      </c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3"/>
    </row>
    <row r="14" spans="1:12" ht="17" hidden="1" outlineLevel="1" thickBot="1">
      <c r="A14" s="144" t="s">
        <v>123</v>
      </c>
      <c r="B14" s="144" t="s">
        <v>122</v>
      </c>
      <c r="C14" s="144" t="s">
        <v>117</v>
      </c>
      <c r="D14" s="150" t="s">
        <v>124</v>
      </c>
      <c r="E14" s="151"/>
      <c r="F14" s="151"/>
      <c r="G14" s="152"/>
      <c r="H14" s="150" t="s">
        <v>125</v>
      </c>
      <c r="I14" s="151"/>
      <c r="J14" s="144" t="s">
        <v>126</v>
      </c>
      <c r="K14" s="144" t="s">
        <v>130</v>
      </c>
    </row>
    <row r="15" spans="1:12" ht="18" hidden="1" customHeight="1" outlineLevel="1" thickBot="1">
      <c r="A15" s="145"/>
      <c r="B15" s="145"/>
      <c r="C15" s="145"/>
      <c r="D15" s="147" t="s">
        <v>127</v>
      </c>
      <c r="E15" s="149"/>
      <c r="F15" s="147" t="s">
        <v>128</v>
      </c>
      <c r="G15" s="149"/>
      <c r="H15" s="52" t="s">
        <v>127</v>
      </c>
      <c r="I15" s="53" t="s">
        <v>128</v>
      </c>
      <c r="J15" s="145"/>
      <c r="K15" s="145"/>
    </row>
    <row r="16" spans="1:12" ht="17" hidden="1" outlineLevel="1" thickBot="1">
      <c r="A16" s="146"/>
      <c r="B16" s="146"/>
      <c r="C16" s="146"/>
      <c r="D16" s="54" t="s">
        <v>153</v>
      </c>
      <c r="E16" s="55" t="s">
        <v>154</v>
      </c>
      <c r="F16" s="54" t="s">
        <v>153</v>
      </c>
      <c r="G16" s="55" t="s">
        <v>154</v>
      </c>
      <c r="H16" s="54" t="s">
        <v>153</v>
      </c>
      <c r="I16" s="54" t="s">
        <v>153</v>
      </c>
      <c r="J16" s="146"/>
      <c r="K16" s="146"/>
    </row>
    <row r="17" spans="1:11" ht="17" hidden="1" customHeight="1" outlineLevel="1">
      <c r="A17" s="10" t="s">
        <v>129</v>
      </c>
      <c r="B17" s="11" t="s">
        <v>137</v>
      </c>
      <c r="C17" s="11" t="s">
        <v>133</v>
      </c>
      <c r="D17" s="5" t="str">
        <f>REPT(cash!D6,1)</f>
        <v>19800</v>
      </c>
      <c r="E17" s="14">
        <f>(D17*2)/1000</f>
        <v>39.6</v>
      </c>
      <c r="F17" s="5" t="str">
        <f>REPT(cash!E6,1)</f>
        <v>18800</v>
      </c>
      <c r="G17" s="14">
        <f>(F17*1.9)/1000</f>
        <v>35.72</v>
      </c>
      <c r="H17" s="5" t="str">
        <f>REPT(cash!F6,1)</f>
        <v>22800</v>
      </c>
      <c r="I17" s="15" t="str">
        <f>REPT(cash!G6,1)</f>
        <v>договорная</v>
      </c>
      <c r="J17" s="13" t="s">
        <v>131</v>
      </c>
      <c r="K17" s="13" t="s">
        <v>132</v>
      </c>
    </row>
    <row r="18" spans="1:11" ht="17" hidden="1" customHeight="1" outlineLevel="1">
      <c r="A18" s="7" t="s">
        <v>129</v>
      </c>
      <c r="B18" s="6" t="s">
        <v>138</v>
      </c>
      <c r="C18" s="11" t="s">
        <v>134</v>
      </c>
      <c r="D18" s="5">
        <f>VALUE(cash!D6)</f>
        <v>19800</v>
      </c>
      <c r="E18" s="14">
        <f>(D18*2.7)/1000</f>
        <v>53.46</v>
      </c>
      <c r="F18" s="5" t="str">
        <f>REPT(cash!E7,1)</f>
        <v>18100</v>
      </c>
      <c r="G18" s="14">
        <f>(F18*2.5)/1000</f>
        <v>45.25</v>
      </c>
      <c r="H18" s="5">
        <f>VALUE(cash!F6)</f>
        <v>22800</v>
      </c>
      <c r="I18" s="15" t="str">
        <f>REPT(cash!G6,1)</f>
        <v>договорная</v>
      </c>
      <c r="J18" s="12" t="s">
        <v>131</v>
      </c>
      <c r="K18" s="13" t="s">
        <v>132</v>
      </c>
    </row>
    <row r="19" spans="1:11" ht="17" hidden="1" outlineLevel="1">
      <c r="A19" s="7" t="s">
        <v>129</v>
      </c>
      <c r="B19" s="6" t="s">
        <v>139</v>
      </c>
      <c r="C19" s="11" t="s">
        <v>135</v>
      </c>
      <c r="D19" s="5">
        <f>VALUE(cash!D6)</f>
        <v>19800</v>
      </c>
      <c r="E19" s="14">
        <f>(D19*5.5)/1000</f>
        <v>108.9</v>
      </c>
      <c r="F19" s="5" t="str">
        <f>REPT(cash!E8,1)</f>
        <v>21900</v>
      </c>
      <c r="G19" s="14">
        <f>(F19*5.2)/1000</f>
        <v>113.88</v>
      </c>
      <c r="H19" s="5">
        <f>VALUE(cash!F6)</f>
        <v>22800</v>
      </c>
      <c r="I19" s="16" t="str">
        <f>REPT(cash!G6,1)</f>
        <v>договорная</v>
      </c>
      <c r="J19" s="12" t="s">
        <v>131</v>
      </c>
      <c r="K19" s="13" t="s">
        <v>132</v>
      </c>
    </row>
    <row r="20" spans="1:11" ht="17" hidden="1" outlineLevel="1">
      <c r="A20" s="7" t="s">
        <v>129</v>
      </c>
      <c r="B20" s="6" t="s">
        <v>140</v>
      </c>
      <c r="C20" s="11" t="s">
        <v>136</v>
      </c>
      <c r="D20" s="5">
        <f>VALUE(cash!D6)</f>
        <v>19800</v>
      </c>
      <c r="E20" s="14">
        <f>(D20*4.1)/1000</f>
        <v>81.180000000000007</v>
      </c>
      <c r="F20" s="5" t="str">
        <f>REPT(cash!E9,1)</f>
        <v>35800</v>
      </c>
      <c r="G20" s="14">
        <f>(F20*3.9)/1000</f>
        <v>139.62</v>
      </c>
      <c r="H20" s="5">
        <f>VALUE(cash!F6)</f>
        <v>22800</v>
      </c>
      <c r="I20" s="16" t="str">
        <f>REPT(cash!G6,1)</f>
        <v>договорная</v>
      </c>
      <c r="J20" s="12" t="s">
        <v>131</v>
      </c>
      <c r="K20" s="13" t="s">
        <v>132</v>
      </c>
    </row>
    <row r="21" spans="1:11" ht="17" hidden="1" outlineLevel="1">
      <c r="A21" s="7" t="s">
        <v>129</v>
      </c>
      <c r="B21" s="6" t="s">
        <v>141</v>
      </c>
      <c r="C21" s="11" t="s">
        <v>147</v>
      </c>
      <c r="D21" s="8" t="str">
        <f>REPT(cash!D4,1)</f>
        <v>14060</v>
      </c>
      <c r="E21" s="14">
        <f>(D21*3.6)/1000</f>
        <v>50.616</v>
      </c>
      <c r="F21" s="8" t="str">
        <f>REPT(cash!E4,1)</f>
        <v>13060</v>
      </c>
      <c r="G21" s="14">
        <f>(F21*3.4)/1000</f>
        <v>44.404000000000003</v>
      </c>
      <c r="H21" s="16" t="str">
        <f>REPT(cash!F4,1)</f>
        <v>от 56 руб./шт</v>
      </c>
      <c r="I21" s="16" t="str">
        <f>REPT(cash!G4,1)</f>
        <v>договорная</v>
      </c>
      <c r="J21" s="12" t="s">
        <v>131</v>
      </c>
      <c r="K21" s="13" t="s">
        <v>132</v>
      </c>
    </row>
    <row r="22" spans="1:11" ht="17" hidden="1" outlineLevel="1">
      <c r="A22" s="7" t="s">
        <v>129</v>
      </c>
      <c r="B22" s="6" t="s">
        <v>142</v>
      </c>
      <c r="C22" s="11" t="s">
        <v>148</v>
      </c>
      <c r="D22" s="8" t="str">
        <f>REPT(cash!D6,1)</f>
        <v>19800</v>
      </c>
      <c r="E22" s="14">
        <f>(D22*2.2)/1000</f>
        <v>43.56</v>
      </c>
      <c r="F22" s="8" t="str">
        <f>REPT(cash!E6,1)</f>
        <v>18800</v>
      </c>
      <c r="G22" s="14">
        <f>(F22*2.1)/1000</f>
        <v>39.479999999999997</v>
      </c>
      <c r="H22" s="8" t="str">
        <f>REPT(cash!F6,1)</f>
        <v>22800</v>
      </c>
      <c r="I22" s="16" t="str">
        <f>REPT(cash!G6,1)</f>
        <v>договорная</v>
      </c>
      <c r="J22" s="12" t="s">
        <v>131</v>
      </c>
      <c r="K22" s="13" t="s">
        <v>132</v>
      </c>
    </row>
    <row r="23" spans="1:11" ht="17" hidden="1" outlineLevel="1">
      <c r="A23" s="7" t="s">
        <v>129</v>
      </c>
      <c r="B23" s="6" t="s">
        <v>143</v>
      </c>
      <c r="C23" s="11" t="s">
        <v>149</v>
      </c>
      <c r="D23" s="8" t="str">
        <f>REPT(cash!D6,1)</f>
        <v>19800</v>
      </c>
      <c r="E23" s="14">
        <f>(D23*4.9)/1000</f>
        <v>97.02</v>
      </c>
      <c r="F23" s="8" t="str">
        <f>REPT(cash!E7,1)</f>
        <v>18100</v>
      </c>
      <c r="G23" s="14">
        <f>(F23*4.7)/1000</f>
        <v>85.07</v>
      </c>
      <c r="H23" s="8" t="str">
        <f>REPT(cash!F6,1)</f>
        <v>22800</v>
      </c>
      <c r="I23" s="16" t="str">
        <f>REPT(cash!G6,1)</f>
        <v>договорная</v>
      </c>
      <c r="J23" s="12" t="s">
        <v>131</v>
      </c>
      <c r="K23" s="13" t="s">
        <v>132</v>
      </c>
    </row>
    <row r="24" spans="1:11" ht="17" hidden="1" outlineLevel="1">
      <c r="A24" s="7" t="s">
        <v>129</v>
      </c>
      <c r="B24" s="6" t="s">
        <v>144</v>
      </c>
      <c r="C24" s="11" t="s">
        <v>150</v>
      </c>
      <c r="D24" s="8" t="str">
        <f>REPT(cash!D4,1)</f>
        <v>14060</v>
      </c>
      <c r="E24" s="14">
        <f>(D24*4.2)/1000</f>
        <v>59.052</v>
      </c>
      <c r="F24" s="8" t="str">
        <f>REPT(cash!E4,1)</f>
        <v>13060</v>
      </c>
      <c r="G24" s="14">
        <f>(F24*4)/1000</f>
        <v>52.24</v>
      </c>
      <c r="H24" s="16" t="str">
        <f>REPT(cash!F4,1)</f>
        <v>от 56 руб./шт</v>
      </c>
      <c r="I24" s="16" t="str">
        <f>REPT(cash!G4,1)</f>
        <v>договорная</v>
      </c>
      <c r="J24" s="12" t="s">
        <v>131</v>
      </c>
      <c r="K24" s="13" t="s">
        <v>132</v>
      </c>
    </row>
    <row r="25" spans="1:11" ht="17" hidden="1" outlineLevel="1">
      <c r="A25" s="7" t="s">
        <v>129</v>
      </c>
      <c r="B25" s="6" t="s">
        <v>145</v>
      </c>
      <c r="C25" s="11" t="s">
        <v>151</v>
      </c>
      <c r="D25" s="8" t="str">
        <f>REPT(cash!D6,1)</f>
        <v>19800</v>
      </c>
      <c r="E25" s="14">
        <f>(D25*6.1)/1000</f>
        <v>120.78</v>
      </c>
      <c r="F25" s="8" t="str">
        <f>REPT(cash!E6,1)</f>
        <v>18800</v>
      </c>
      <c r="G25" s="14">
        <f>(F25*5.9)/1000</f>
        <v>110.92</v>
      </c>
      <c r="H25" s="16" t="str">
        <f>REPT(cash!F6,1)</f>
        <v>22800</v>
      </c>
      <c r="I25" s="16" t="str">
        <f>REPT(cash!G6,1)</f>
        <v>договорная</v>
      </c>
      <c r="J25" s="12" t="s">
        <v>131</v>
      </c>
      <c r="K25" s="13" t="s">
        <v>132</v>
      </c>
    </row>
    <row r="26" spans="1:11" ht="17" hidden="1" outlineLevel="1">
      <c r="A26" s="7" t="s">
        <v>129</v>
      </c>
      <c r="B26" s="6" t="s">
        <v>146</v>
      </c>
      <c r="C26" s="11" t="s">
        <v>152</v>
      </c>
      <c r="D26" s="8" t="str">
        <f>REPT(cash!D6,1)</f>
        <v>19800</v>
      </c>
      <c r="E26" s="14">
        <f>(D26*8.2)/1000</f>
        <v>162.36000000000001</v>
      </c>
      <c r="F26" s="8" t="str">
        <f>REPT(cash!E7,1)</f>
        <v>18100</v>
      </c>
      <c r="G26" s="14">
        <f>(F26*7.8)/1000</f>
        <v>141.18</v>
      </c>
      <c r="H26" s="8" t="str">
        <f>REPT(cash!F6,1)</f>
        <v>22800</v>
      </c>
      <c r="I26" s="16" t="str">
        <f>REPT(cash!G6,1)</f>
        <v>договорная</v>
      </c>
      <c r="J26" s="12" t="s">
        <v>131</v>
      </c>
      <c r="K26" s="13" t="s">
        <v>132</v>
      </c>
    </row>
    <row r="27" spans="1:11" ht="34" hidden="1" outlineLevel="1">
      <c r="A27" s="7" t="s">
        <v>129</v>
      </c>
      <c r="B27" s="4" t="s">
        <v>155</v>
      </c>
      <c r="C27" s="8" t="s">
        <v>156</v>
      </c>
      <c r="D27" s="8" t="str">
        <f>REPT(cash!D10,1)</f>
        <v>27700</v>
      </c>
      <c r="E27" s="14">
        <f>(D27*5.4)/1000</f>
        <v>149.58000000000001</v>
      </c>
      <c r="F27" s="8" t="str">
        <f>REPT(cash!E10,1)</f>
        <v>26700</v>
      </c>
      <c r="G27" s="14">
        <f>(F27*5.1)/1000</f>
        <v>136.16999999999999</v>
      </c>
      <c r="H27" s="8" t="str">
        <f>REPT(cash!F10,1)</f>
        <v>28900</v>
      </c>
      <c r="I27" s="8" t="str">
        <f>REPT(cash!G10,1)</f>
        <v>договорная</v>
      </c>
      <c r="J27" s="12" t="s">
        <v>131</v>
      </c>
      <c r="K27" s="13" t="s">
        <v>132</v>
      </c>
    </row>
    <row r="28" spans="1:11" ht="34" hidden="1" outlineLevel="1">
      <c r="A28" s="7" t="s">
        <v>129</v>
      </c>
      <c r="B28" s="4" t="s">
        <v>157</v>
      </c>
      <c r="C28" s="8" t="s">
        <v>160</v>
      </c>
      <c r="D28" s="8" t="str">
        <f>REPT(cash!D10,1)</f>
        <v>27700</v>
      </c>
      <c r="E28" s="14">
        <f>(D28*7.4)/1000</f>
        <v>204.98</v>
      </c>
      <c r="F28" s="8" t="str">
        <f>REPT(cash!E10,1)</f>
        <v>26700</v>
      </c>
      <c r="G28" s="14">
        <f>(F28*7)/1000</f>
        <v>186.9</v>
      </c>
      <c r="H28" s="8" t="str">
        <f>REPT(cash!F10,1)</f>
        <v>28900</v>
      </c>
      <c r="I28" s="8" t="str">
        <f>REPT(cash!G10,1)</f>
        <v>договорная</v>
      </c>
      <c r="J28" s="12" t="s">
        <v>131</v>
      </c>
      <c r="K28" s="13" t="s">
        <v>132</v>
      </c>
    </row>
    <row r="29" spans="1:11" ht="34" hidden="1" outlineLevel="1">
      <c r="A29" s="7" t="s">
        <v>129</v>
      </c>
      <c r="B29" s="4" t="s">
        <v>158</v>
      </c>
      <c r="C29" s="8" t="s">
        <v>161</v>
      </c>
      <c r="D29" s="8" t="str">
        <f>REPT(cash!D10,1)</f>
        <v>27700</v>
      </c>
      <c r="E29" s="14">
        <f>(D29*6.4)/1000</f>
        <v>177.28</v>
      </c>
      <c r="F29" s="8" t="str">
        <f>REPT(cash!E10,1)</f>
        <v>26700</v>
      </c>
      <c r="G29" s="14">
        <f>(F29*6.1)/1000</f>
        <v>162.87</v>
      </c>
      <c r="H29" s="8" t="str">
        <f>REPT(cash!F10,1)</f>
        <v>28900</v>
      </c>
      <c r="I29" s="8" t="str">
        <f>REPT(cash!G10,1)</f>
        <v>договорная</v>
      </c>
      <c r="J29" s="12" t="s">
        <v>131</v>
      </c>
      <c r="K29" s="13" t="s">
        <v>132</v>
      </c>
    </row>
    <row r="30" spans="1:11" ht="34" hidden="1" outlineLevel="1">
      <c r="A30" s="7" t="s">
        <v>129</v>
      </c>
      <c r="B30" s="4" t="s">
        <v>159</v>
      </c>
      <c r="C30" s="8" t="s">
        <v>162</v>
      </c>
      <c r="D30" s="8" t="str">
        <f>REPT(cash!D10,1)</f>
        <v>27700</v>
      </c>
      <c r="E30" s="14">
        <f>(D30*9.2)/1000</f>
        <v>254.83999999999997</v>
      </c>
      <c r="F30" s="8" t="str">
        <f>REPT(cash!E10,1)</f>
        <v>26700</v>
      </c>
      <c r="G30" s="14">
        <f>(F30*8.8)/1000</f>
        <v>234.96000000000004</v>
      </c>
      <c r="H30" s="8" t="str">
        <f>REPT(cash!F10,1)</f>
        <v>28900</v>
      </c>
      <c r="I30" s="8" t="str">
        <f>REPT(cash!G10,1)</f>
        <v>договорная</v>
      </c>
      <c r="J30" s="12" t="s">
        <v>131</v>
      </c>
      <c r="K30" s="13" t="s">
        <v>132</v>
      </c>
    </row>
    <row r="31" spans="1:11" ht="34" hidden="1" outlineLevel="1">
      <c r="A31" s="7" t="s">
        <v>129</v>
      </c>
      <c r="B31" s="4" t="s">
        <v>163</v>
      </c>
      <c r="C31" s="8" t="s">
        <v>164</v>
      </c>
      <c r="D31" s="8" t="str">
        <f>REPT(cash!D7,1)</f>
        <v>19100</v>
      </c>
      <c r="E31" s="14">
        <f>(D31*3.9)/1000</f>
        <v>74.489999999999995</v>
      </c>
      <c r="F31" s="8" t="str">
        <f>REPT(cash!E7,1)</f>
        <v>18100</v>
      </c>
      <c r="G31" s="14">
        <f>(F31*3.7)/1000</f>
        <v>66.97</v>
      </c>
      <c r="H31" s="8" t="str">
        <f>REPT(cash!F7,1)</f>
        <v>20100</v>
      </c>
      <c r="I31" s="8" t="str">
        <f>REPT(cash!G7,1)</f>
        <v>договорная</v>
      </c>
      <c r="J31" s="12" t="s">
        <v>131</v>
      </c>
      <c r="K31" s="13" t="s">
        <v>132</v>
      </c>
    </row>
    <row r="32" spans="1:11" ht="34" hidden="1" outlineLevel="1">
      <c r="A32" s="7" t="s">
        <v>129</v>
      </c>
      <c r="B32" s="4" t="s">
        <v>165</v>
      </c>
      <c r="C32" s="8" t="s">
        <v>164</v>
      </c>
      <c r="D32" s="8" t="str">
        <f>REPT(cash!D7,1)</f>
        <v>19100</v>
      </c>
      <c r="E32" s="14">
        <f>(D32*3.6)/1000</f>
        <v>68.760000000000005</v>
      </c>
      <c r="F32" s="8" t="str">
        <f>REPT(cash!E7,1)</f>
        <v>18100</v>
      </c>
      <c r="G32" s="14">
        <f>(F32*3.4)/1000</f>
        <v>61.54</v>
      </c>
      <c r="H32" s="8" t="str">
        <f>REPT(cash!F7,1)</f>
        <v>20100</v>
      </c>
      <c r="I32" s="8" t="str">
        <f>REPT(cash!G7,1)</f>
        <v>договорная</v>
      </c>
      <c r="J32" s="12" t="s">
        <v>131</v>
      </c>
      <c r="K32" s="13" t="s">
        <v>132</v>
      </c>
    </row>
    <row r="33" spans="1:11" ht="34" hidden="1" outlineLevel="1">
      <c r="A33" s="7" t="s">
        <v>129</v>
      </c>
      <c r="B33" s="4" t="s">
        <v>168</v>
      </c>
      <c r="C33" s="8" t="s">
        <v>172</v>
      </c>
      <c r="D33" s="8" t="str">
        <f>REPT(cash!D5,1)</f>
        <v>18160</v>
      </c>
      <c r="E33" s="14">
        <f>(D33*3.3)/1000</f>
        <v>59.927999999999997</v>
      </c>
      <c r="F33" s="8" t="str">
        <f>REPT(cash!E5,1)</f>
        <v>17160</v>
      </c>
      <c r="G33" s="14">
        <f>(F33*3.2)/1000</f>
        <v>54.911999999999999</v>
      </c>
      <c r="H33" s="8" t="str">
        <f>REPT(cash!F5,1)</f>
        <v>21250</v>
      </c>
      <c r="I33" s="8" t="str">
        <f>REPT(cash!G5,1)</f>
        <v>договорная</v>
      </c>
      <c r="J33" s="12" t="s">
        <v>131</v>
      </c>
      <c r="K33" s="13" t="s">
        <v>132</v>
      </c>
    </row>
    <row r="34" spans="1:11" ht="34" hidden="1" outlineLevel="1">
      <c r="A34" s="7" t="s">
        <v>129</v>
      </c>
      <c r="B34" s="4" t="s">
        <v>169</v>
      </c>
      <c r="C34" s="8" t="s">
        <v>173</v>
      </c>
      <c r="D34" s="8" t="str">
        <f>REPT(cash!D5,1)</f>
        <v>18160</v>
      </c>
      <c r="E34" s="14">
        <f>(D34*3)/1000</f>
        <v>54.48</v>
      </c>
      <c r="F34" s="8" t="str">
        <f>REPT(cash!E5,1)</f>
        <v>17160</v>
      </c>
      <c r="G34" s="14">
        <f>(F34*2.9)/1000</f>
        <v>49.764000000000003</v>
      </c>
      <c r="H34" s="8" t="str">
        <f>REPT(cash!F5,1)</f>
        <v>21250</v>
      </c>
      <c r="I34" s="8" t="str">
        <f>REPT(cash!G5,1)</f>
        <v>договорная</v>
      </c>
      <c r="J34" s="12" t="s">
        <v>131</v>
      </c>
      <c r="K34" s="13" t="s">
        <v>132</v>
      </c>
    </row>
    <row r="35" spans="1:11" ht="34" hidden="1" outlineLevel="1">
      <c r="A35" s="7" t="s">
        <v>129</v>
      </c>
      <c r="B35" s="4" t="s">
        <v>170</v>
      </c>
      <c r="C35" s="8" t="s">
        <v>174</v>
      </c>
      <c r="D35" s="8" t="str">
        <f>REPT(cash!D5,1)</f>
        <v>18160</v>
      </c>
      <c r="E35" s="14">
        <f>(D35*4.6)/1000</f>
        <v>83.536000000000001</v>
      </c>
      <c r="F35" s="8" t="str">
        <f>REPT(cash!E5,1)</f>
        <v>17160</v>
      </c>
      <c r="G35" s="14">
        <f>(F35*4.3)/1000</f>
        <v>73.787999999999997</v>
      </c>
      <c r="H35" s="8" t="str">
        <f>REPT(cash!F5,1)</f>
        <v>21250</v>
      </c>
      <c r="I35" s="8" t="str">
        <f>REPT(cash!G5,1)</f>
        <v>договорная</v>
      </c>
      <c r="J35" s="12" t="s">
        <v>131</v>
      </c>
      <c r="K35" s="13" t="s">
        <v>132</v>
      </c>
    </row>
    <row r="36" spans="1:11" ht="34" hidden="1" outlineLevel="1">
      <c r="A36" s="7" t="s">
        <v>129</v>
      </c>
      <c r="B36" s="4" t="s">
        <v>171</v>
      </c>
      <c r="C36" s="8" t="s">
        <v>175</v>
      </c>
      <c r="D36" s="8" t="str">
        <f>REPT(cash!D5,1)</f>
        <v>18160</v>
      </c>
      <c r="E36" s="14">
        <f t="shared" ref="E36:E37" si="0">(D36*3.6)/1000</f>
        <v>65.376000000000005</v>
      </c>
      <c r="F36" s="8" t="str">
        <f>REPT(cash!E5,1)</f>
        <v>17160</v>
      </c>
      <c r="G36" s="14">
        <f>(F36*3.4)/1000</f>
        <v>58.344000000000001</v>
      </c>
      <c r="H36" s="8" t="str">
        <f>REPT(cash!F5,1)</f>
        <v>21250</v>
      </c>
      <c r="I36" s="8" t="str">
        <f>REPT(cash!G5,1)</f>
        <v>договорная</v>
      </c>
      <c r="J36" s="12" t="s">
        <v>131</v>
      </c>
      <c r="K36" s="13" t="s">
        <v>132</v>
      </c>
    </row>
    <row r="37" spans="1:11" ht="34" hidden="1" outlineLevel="1">
      <c r="A37" s="7" t="s">
        <v>129</v>
      </c>
      <c r="B37" s="4" t="s">
        <v>166</v>
      </c>
      <c r="C37" s="8" t="s">
        <v>167</v>
      </c>
      <c r="D37" s="8" t="str">
        <f>REPT(cash!D7,1)</f>
        <v>19100</v>
      </c>
      <c r="E37" s="14">
        <f t="shared" si="0"/>
        <v>68.760000000000005</v>
      </c>
      <c r="F37" s="8" t="str">
        <f>REPT(cash!E7,1)</f>
        <v>18100</v>
      </c>
      <c r="G37" s="14">
        <f t="shared" ref="G37" si="1">(F37*3.4)/1000</f>
        <v>61.54</v>
      </c>
      <c r="H37" s="8" t="str">
        <f>REPT(cash!F7,1)</f>
        <v>20100</v>
      </c>
      <c r="I37" s="8" t="str">
        <f>REPT(cash!G7,1)</f>
        <v>договорная</v>
      </c>
      <c r="J37" s="12" t="s">
        <v>131</v>
      </c>
      <c r="K37" s="13" t="s">
        <v>132</v>
      </c>
    </row>
    <row r="38" spans="1:11" ht="51" hidden="1" outlineLevel="1">
      <c r="A38" s="7" t="s">
        <v>129</v>
      </c>
      <c r="B38" s="4" t="s">
        <v>176</v>
      </c>
      <c r="C38" s="8" t="s">
        <v>183</v>
      </c>
      <c r="D38" s="8" t="str">
        <f>REPT(cash!D12,1)</f>
        <v>56800</v>
      </c>
      <c r="E38" s="19">
        <f>(D38*5.8)/1000</f>
        <v>329.44</v>
      </c>
      <c r="F38" s="20" t="str">
        <f>REPT(cash!E12,1)</f>
        <v>55800</v>
      </c>
      <c r="G38" s="19">
        <f>(F38*5.5)/1000</f>
        <v>306.89999999999998</v>
      </c>
      <c r="H38" s="8" t="str">
        <f>REPT(cash!F12,1)</f>
        <v>59800</v>
      </c>
      <c r="I38" s="8" t="str">
        <f>REPT(cash!G12,1)</f>
        <v>договорная</v>
      </c>
      <c r="J38" s="12" t="s">
        <v>131</v>
      </c>
      <c r="K38" s="13" t="s">
        <v>132</v>
      </c>
    </row>
    <row r="39" spans="1:11" ht="51" hidden="1" outlineLevel="1">
      <c r="A39" s="7" t="s">
        <v>129</v>
      </c>
      <c r="B39" s="4" t="s">
        <v>177</v>
      </c>
      <c r="C39" s="8" t="s">
        <v>184</v>
      </c>
      <c r="D39" s="8" t="str">
        <f>REPT(cash!D12,1)</f>
        <v>56800</v>
      </c>
      <c r="E39" s="19">
        <f>(D39*5.4)/1000</f>
        <v>306.72000000000003</v>
      </c>
      <c r="F39" s="20" t="str">
        <f>REPT(cash!E12,1)</f>
        <v>55800</v>
      </c>
      <c r="G39" s="19">
        <f>(F39*5.1)/1000</f>
        <v>284.58</v>
      </c>
      <c r="H39" s="8" t="str">
        <f>REPT(cash!F12,1)</f>
        <v>59800</v>
      </c>
      <c r="I39" s="8" t="str">
        <f>REPT(cash!G12,1)</f>
        <v>договорная</v>
      </c>
      <c r="J39" s="12" t="s">
        <v>131</v>
      </c>
      <c r="K39" s="13" t="s">
        <v>132</v>
      </c>
    </row>
    <row r="40" spans="1:11" ht="51" hidden="1" outlineLevel="1">
      <c r="A40" s="7" t="s">
        <v>129</v>
      </c>
      <c r="B40" s="4" t="s">
        <v>178</v>
      </c>
      <c r="C40" s="8" t="s">
        <v>185</v>
      </c>
      <c r="D40" s="8" t="str">
        <f>REPT(cash!D12,1)</f>
        <v>56800</v>
      </c>
      <c r="E40" s="19">
        <f>(D40*5)/1000</f>
        <v>284</v>
      </c>
      <c r="F40" s="20" t="str">
        <f>REPT(cash!E12,1)</f>
        <v>55800</v>
      </c>
      <c r="G40" s="19">
        <f>(F40*4.8)/1000</f>
        <v>267.83999999999997</v>
      </c>
      <c r="H40" s="8" t="str">
        <f>REPT(cash!F12,1)</f>
        <v>59800</v>
      </c>
      <c r="I40" s="8" t="str">
        <f>REPT(cash!G12,1)</f>
        <v>договорная</v>
      </c>
      <c r="J40" s="12" t="s">
        <v>131</v>
      </c>
      <c r="K40" s="13" t="s">
        <v>132</v>
      </c>
    </row>
    <row r="41" spans="1:11" ht="51" hidden="1" outlineLevel="1">
      <c r="A41" s="7" t="s">
        <v>129</v>
      </c>
      <c r="B41" s="4" t="s">
        <v>179</v>
      </c>
      <c r="C41" s="8" t="s">
        <v>186</v>
      </c>
      <c r="D41" s="8" t="str">
        <f>REPT(cash!D12,1)</f>
        <v>56800</v>
      </c>
      <c r="E41" s="19">
        <f>(D41*4.6)/1000</f>
        <v>261.27999999999997</v>
      </c>
      <c r="F41" s="20" t="str">
        <f>REPT(cash!E12,1)</f>
        <v>55800</v>
      </c>
      <c r="G41" s="19">
        <f>(F41*4.4)/1000</f>
        <v>245.52000000000004</v>
      </c>
      <c r="H41" s="8" t="str">
        <f>REPT(cash!F12,1)</f>
        <v>59800</v>
      </c>
      <c r="I41" s="8" t="str">
        <f>REPT(cash!G12,1)</f>
        <v>договорная</v>
      </c>
      <c r="J41" s="12" t="s">
        <v>131</v>
      </c>
      <c r="K41" s="13" t="s">
        <v>132</v>
      </c>
    </row>
    <row r="42" spans="1:11" ht="51" hidden="1" outlineLevel="1">
      <c r="A42" s="7" t="s">
        <v>129</v>
      </c>
      <c r="B42" s="4" t="s">
        <v>180</v>
      </c>
      <c r="C42" s="8" t="s">
        <v>187</v>
      </c>
      <c r="D42" s="8" t="str">
        <f>REPT(cash!D12,1)</f>
        <v>56800</v>
      </c>
      <c r="E42" s="19">
        <f>(D42*6.9)/1000</f>
        <v>391.92</v>
      </c>
      <c r="F42" s="20" t="str">
        <f>REPT(cash!E12,1)</f>
        <v>55800</v>
      </c>
      <c r="G42" s="19">
        <f>(F42*6.6)/1000</f>
        <v>368.28</v>
      </c>
      <c r="H42" s="8" t="str">
        <f>REPT(cash!F12,1)</f>
        <v>59800</v>
      </c>
      <c r="I42" s="8" t="str">
        <f>REPT(cash!G12,1)</f>
        <v>договорная</v>
      </c>
      <c r="J42" s="12" t="s">
        <v>131</v>
      </c>
      <c r="K42" s="13" t="s">
        <v>132</v>
      </c>
    </row>
    <row r="43" spans="1:11" ht="51" hidden="1" outlineLevel="1">
      <c r="A43" s="7" t="s">
        <v>129</v>
      </c>
      <c r="B43" s="4" t="s">
        <v>181</v>
      </c>
      <c r="C43" s="8" t="s">
        <v>188</v>
      </c>
      <c r="D43" s="8" t="str">
        <f>REPT(cash!D12,1)</f>
        <v>56800</v>
      </c>
      <c r="E43" s="19">
        <f>(D43*5.9)/1000</f>
        <v>335.12</v>
      </c>
      <c r="F43" s="20" t="str">
        <f>REPT(cash!E12,1)</f>
        <v>55800</v>
      </c>
      <c r="G43" s="19">
        <f>(F43*5.6)/1000</f>
        <v>312.48</v>
      </c>
      <c r="H43" s="8" t="str">
        <f>REPT(cash!F12,1)</f>
        <v>59800</v>
      </c>
      <c r="I43" s="8" t="str">
        <f>REPT(cash!G12,1)</f>
        <v>договорная</v>
      </c>
      <c r="J43" s="12" t="s">
        <v>131</v>
      </c>
      <c r="K43" s="13" t="s">
        <v>132</v>
      </c>
    </row>
    <row r="44" spans="1:11" ht="51" hidden="1" outlineLevel="1">
      <c r="A44" s="7" t="s">
        <v>129</v>
      </c>
      <c r="B44" s="4" t="s">
        <v>182</v>
      </c>
      <c r="C44" s="8" t="s">
        <v>189</v>
      </c>
      <c r="D44" s="8" t="str">
        <f>REPT(cash!D12,1)</f>
        <v>56800</v>
      </c>
      <c r="E44" s="19">
        <f>(D44*5.4)/1000</f>
        <v>306.72000000000003</v>
      </c>
      <c r="F44" s="20" t="str">
        <f>REPT(cash!E12,1)</f>
        <v>55800</v>
      </c>
      <c r="G44" s="19">
        <f>(F44*5.1)/1000</f>
        <v>284.58</v>
      </c>
      <c r="H44" s="8" t="str">
        <f>REPT(cash!F12,1)</f>
        <v>59800</v>
      </c>
      <c r="I44" s="8" t="str">
        <f>REPT(cash!G12,1)</f>
        <v>договорная</v>
      </c>
      <c r="J44" s="12" t="s">
        <v>131</v>
      </c>
      <c r="K44" s="13" t="s">
        <v>132</v>
      </c>
    </row>
    <row r="45" spans="1:11" s="24" customFormat="1" ht="51" hidden="1" outlineLevel="1">
      <c r="A45" s="21" t="s">
        <v>129</v>
      </c>
      <c r="B45" s="22" t="s">
        <v>190</v>
      </c>
      <c r="C45" s="20" t="s">
        <v>198</v>
      </c>
      <c r="D45" s="20" t="str">
        <f>REPT(cash!D13,1)</f>
        <v>22200</v>
      </c>
      <c r="E45" s="19">
        <f>(D45*7.8)/1000</f>
        <v>173.16</v>
      </c>
      <c r="F45" s="20" t="str">
        <f>REPT(cash!E13,1)</f>
        <v>21200</v>
      </c>
      <c r="G45" s="19">
        <f>(F45*7.4)/1000</f>
        <v>156.88</v>
      </c>
      <c r="H45" s="20" t="str">
        <f>REPT(cash!F13,1)</f>
        <v>23300</v>
      </c>
      <c r="I45" s="20" t="str">
        <f>REPT(cash!G13,1)</f>
        <v>договорная</v>
      </c>
      <c r="J45" s="23" t="s">
        <v>131</v>
      </c>
      <c r="K45" s="13" t="s">
        <v>132</v>
      </c>
    </row>
    <row r="46" spans="1:11" s="24" customFormat="1" ht="34" hidden="1" outlineLevel="1">
      <c r="A46" s="21" t="s">
        <v>129</v>
      </c>
      <c r="B46" s="22" t="s">
        <v>191</v>
      </c>
      <c r="C46" s="20" t="s">
        <v>205</v>
      </c>
      <c r="D46" s="20" t="str">
        <f>REPT(cash!D13,1)</f>
        <v>22200</v>
      </c>
      <c r="E46" s="19">
        <f>(D46*3.9)/1000</f>
        <v>86.58</v>
      </c>
      <c r="F46" s="20" t="str">
        <f>REPT(cash!E13,1)</f>
        <v>21200</v>
      </c>
      <c r="G46" s="19">
        <f>(F46*3.7)/1000</f>
        <v>78.44</v>
      </c>
      <c r="H46" s="20" t="str">
        <f>REPT(cash!F13,1)</f>
        <v>23300</v>
      </c>
      <c r="I46" s="20" t="str">
        <f>REPT(cash!G13,1)</f>
        <v>договорная</v>
      </c>
      <c r="J46" s="23" t="s">
        <v>131</v>
      </c>
      <c r="K46" s="13" t="s">
        <v>132</v>
      </c>
    </row>
    <row r="47" spans="1:11" s="24" customFormat="1" ht="34" hidden="1" outlineLevel="1">
      <c r="A47" s="21" t="s">
        <v>129</v>
      </c>
      <c r="B47" s="22" t="s">
        <v>192</v>
      </c>
      <c r="C47" s="20" t="s">
        <v>206</v>
      </c>
      <c r="D47" s="20" t="str">
        <f>REPT(cash!D5,1)</f>
        <v>18160</v>
      </c>
      <c r="E47" s="19">
        <f>(D47*3.6)/1000</f>
        <v>65.376000000000005</v>
      </c>
      <c r="F47" s="20" t="str">
        <f>REPT(cash!E5,1)</f>
        <v>17160</v>
      </c>
      <c r="G47" s="19">
        <f>(F47*3.4)/1000</f>
        <v>58.344000000000001</v>
      </c>
      <c r="H47" s="20" t="str">
        <f>REPT(cash!F5,1)</f>
        <v>21250</v>
      </c>
      <c r="I47" s="20" t="str">
        <f>REPT(cash!G5,1)</f>
        <v>договорная</v>
      </c>
      <c r="J47" s="23" t="s">
        <v>131</v>
      </c>
      <c r="K47" s="13" t="s">
        <v>132</v>
      </c>
    </row>
    <row r="48" spans="1:11" s="24" customFormat="1" ht="34" hidden="1" outlineLevel="1">
      <c r="A48" s="21" t="s">
        <v>129</v>
      </c>
      <c r="B48" s="22" t="s">
        <v>193</v>
      </c>
      <c r="C48" s="20" t="s">
        <v>207</v>
      </c>
      <c r="D48" s="20" t="str">
        <f>REPT(cash!D5,1)</f>
        <v>18160</v>
      </c>
      <c r="E48" s="19">
        <f>(D48*3.3)/1000</f>
        <v>59.927999999999997</v>
      </c>
      <c r="F48" s="20" t="str">
        <f>REPT(cash!E5,1)</f>
        <v>17160</v>
      </c>
      <c r="G48" s="19">
        <f>(F48*3.2)/1000</f>
        <v>54.911999999999999</v>
      </c>
      <c r="H48" s="20" t="str">
        <f>REPT(cash!F5,1)</f>
        <v>21250</v>
      </c>
      <c r="I48" s="20" t="str">
        <f>REPT(cash!G5,1)</f>
        <v>договорная</v>
      </c>
      <c r="J48" s="23" t="s">
        <v>131</v>
      </c>
      <c r="K48" s="13" t="s">
        <v>132</v>
      </c>
    </row>
    <row r="49" spans="1:11" s="24" customFormat="1" ht="34" hidden="1" outlineLevel="1">
      <c r="A49" s="21" t="s">
        <v>129</v>
      </c>
      <c r="B49" s="22" t="s">
        <v>194</v>
      </c>
      <c r="C49" s="20" t="s">
        <v>208</v>
      </c>
      <c r="D49" s="20" t="str">
        <f>REPT(cash!D5,1)</f>
        <v>18160</v>
      </c>
      <c r="E49" s="19">
        <f>(D49*3)/1000</f>
        <v>54.48</v>
      </c>
      <c r="F49" s="20" t="str">
        <f>REPT(cash!E5,1)</f>
        <v>17160</v>
      </c>
      <c r="G49" s="19">
        <f>(F49*2.9)/1000</f>
        <v>49.764000000000003</v>
      </c>
      <c r="H49" s="20" t="str">
        <f>REPT(cash!F5,1)</f>
        <v>21250</v>
      </c>
      <c r="I49" s="20" t="str">
        <f>REPT(cash!G5,1)</f>
        <v>договорная</v>
      </c>
      <c r="J49" s="23" t="s">
        <v>131</v>
      </c>
      <c r="K49" s="13" t="s">
        <v>132</v>
      </c>
    </row>
    <row r="50" spans="1:11" s="24" customFormat="1" ht="34" hidden="1" outlineLevel="1">
      <c r="A50" s="21" t="s">
        <v>129</v>
      </c>
      <c r="B50" s="22" t="s">
        <v>195</v>
      </c>
      <c r="C50" s="20" t="s">
        <v>209</v>
      </c>
      <c r="D50" s="20" t="str">
        <f>REPT(cash!D13,1)</f>
        <v>22200</v>
      </c>
      <c r="E50" s="19">
        <f>(D50*4.6)/1000</f>
        <v>102.11999999999999</v>
      </c>
      <c r="F50" s="20" t="str">
        <f>REPT(cash!E13,1)</f>
        <v>21200</v>
      </c>
      <c r="G50" s="19">
        <f>(F50*4.3)/1000</f>
        <v>91.16</v>
      </c>
      <c r="H50" s="20" t="str">
        <f>REPT(cash!F13,1)</f>
        <v>23300</v>
      </c>
      <c r="I50" s="20" t="str">
        <f>REPT(cash!G13,1)</f>
        <v>договорная</v>
      </c>
      <c r="J50" s="23" t="s">
        <v>131</v>
      </c>
      <c r="K50" s="13" t="s">
        <v>132</v>
      </c>
    </row>
    <row r="51" spans="1:11" s="24" customFormat="1" ht="34" hidden="1" outlineLevel="1">
      <c r="A51" s="21" t="s">
        <v>129</v>
      </c>
      <c r="B51" s="22" t="s">
        <v>196</v>
      </c>
      <c r="C51" s="20" t="s">
        <v>210</v>
      </c>
      <c r="D51" s="20" t="str">
        <f>REPT(cash!D5,1)</f>
        <v>18160</v>
      </c>
      <c r="E51" s="19">
        <f>(D51*3.9)/1000</f>
        <v>70.823999999999998</v>
      </c>
      <c r="F51" s="20" t="str">
        <f>REPT(cash!E5,1)</f>
        <v>17160</v>
      </c>
      <c r="G51" s="19">
        <f>(F51*3.7)/1000</f>
        <v>63.491999999999997</v>
      </c>
      <c r="H51" s="20" t="str">
        <f>REPT(cash!F5,1)</f>
        <v>21250</v>
      </c>
      <c r="I51" s="20" t="str">
        <f>REPT(cash!G5,1)</f>
        <v>договорная</v>
      </c>
      <c r="J51" s="23" t="s">
        <v>131</v>
      </c>
      <c r="K51" s="13" t="s">
        <v>132</v>
      </c>
    </row>
    <row r="52" spans="1:11" s="24" customFormat="1" ht="34" hidden="1" outlineLevel="1">
      <c r="A52" s="21" t="s">
        <v>129</v>
      </c>
      <c r="B52" s="22" t="s">
        <v>197</v>
      </c>
      <c r="C52" s="20" t="s">
        <v>167</v>
      </c>
      <c r="D52" s="20" t="str">
        <f>REPT(cash!D13,1)</f>
        <v>22200</v>
      </c>
      <c r="E52" s="19">
        <f>(D52*3.6)/1000</f>
        <v>79.92</v>
      </c>
      <c r="F52" s="20" t="str">
        <f>REPT(cash!E13,1)</f>
        <v>21200</v>
      </c>
      <c r="G52" s="19">
        <f>(F52*3.4)/1000</f>
        <v>72.08</v>
      </c>
      <c r="H52" s="20" t="str">
        <f>REPT(cash!F13,1)</f>
        <v>23300</v>
      </c>
      <c r="I52" s="20" t="str">
        <f>REPT(cash!G13,1)</f>
        <v>договорная</v>
      </c>
      <c r="J52" s="23" t="s">
        <v>131</v>
      </c>
      <c r="K52" s="13" t="s">
        <v>132</v>
      </c>
    </row>
    <row r="53" spans="1:11" ht="51" hidden="1" outlineLevel="1">
      <c r="A53" s="21" t="s">
        <v>129</v>
      </c>
      <c r="B53" s="22" t="s">
        <v>199</v>
      </c>
      <c r="C53" s="20" t="s">
        <v>211</v>
      </c>
      <c r="D53" s="20" t="str">
        <f>REPT(cash!D8,1)</f>
        <v>22900</v>
      </c>
      <c r="E53" s="19">
        <f>(D53*3.3)/1000</f>
        <v>75.569999999999993</v>
      </c>
      <c r="F53" s="20" t="str">
        <f>REPT(cash!E8,1)</f>
        <v>21900</v>
      </c>
      <c r="G53" s="19">
        <f>(F53*3.1)/1000</f>
        <v>67.89</v>
      </c>
      <c r="H53" s="20" t="str">
        <f>REPT(cash!F8,1)</f>
        <v>23900</v>
      </c>
      <c r="I53" s="20" t="str">
        <f>REPT(cash!G8,1)</f>
        <v>договорная</v>
      </c>
      <c r="J53" s="23" t="s">
        <v>131</v>
      </c>
      <c r="K53" s="25" t="s">
        <v>132</v>
      </c>
    </row>
    <row r="54" spans="1:11" ht="51" hidden="1" outlineLevel="1">
      <c r="A54" s="21" t="s">
        <v>129</v>
      </c>
      <c r="B54" s="22" t="s">
        <v>200</v>
      </c>
      <c r="C54" s="20" t="s">
        <v>212</v>
      </c>
      <c r="D54" s="20" t="str">
        <f>REPT(cash!D8,1)</f>
        <v>22900</v>
      </c>
      <c r="E54" s="19">
        <f>(D54*3)/1000</f>
        <v>68.7</v>
      </c>
      <c r="F54" s="20" t="str">
        <f>REPT(cash!E8,1)</f>
        <v>21900</v>
      </c>
      <c r="G54" s="19">
        <f>(F54*2.8)/1000</f>
        <v>61.319999999999993</v>
      </c>
      <c r="H54" s="20" t="str">
        <f>REPT(cash!F8,1)</f>
        <v>23900</v>
      </c>
      <c r="I54" s="20" t="str">
        <f>REPT(cash!G8,1)</f>
        <v>договорная</v>
      </c>
      <c r="J54" s="23" t="s">
        <v>131</v>
      </c>
      <c r="K54" s="25" t="s">
        <v>132</v>
      </c>
    </row>
    <row r="55" spans="1:11" ht="51" hidden="1" outlineLevel="1">
      <c r="A55" s="21" t="s">
        <v>129</v>
      </c>
      <c r="B55" s="22" t="s">
        <v>201</v>
      </c>
      <c r="C55" s="20" t="s">
        <v>213</v>
      </c>
      <c r="D55" s="20" t="str">
        <f>REPT(cash!D8,1)</f>
        <v>22900</v>
      </c>
      <c r="E55" s="19">
        <f>(D55*2.7)/1000</f>
        <v>61.830000000000005</v>
      </c>
      <c r="F55" s="20" t="str">
        <f>REPT(cash!E8,1)</f>
        <v>21900</v>
      </c>
      <c r="G55" s="19">
        <f>(F55*2.5)/1000</f>
        <v>54.75</v>
      </c>
      <c r="H55" s="20" t="str">
        <f>REPT(cash!F8,1)</f>
        <v>23900</v>
      </c>
      <c r="I55" s="20" t="str">
        <f>REPT(cash!G8,1)</f>
        <v>договорная</v>
      </c>
      <c r="J55" s="23" t="s">
        <v>131</v>
      </c>
      <c r="K55" s="25" t="s">
        <v>132</v>
      </c>
    </row>
    <row r="56" spans="1:11" ht="51" hidden="1" outlineLevel="1">
      <c r="A56" s="21" t="s">
        <v>129</v>
      </c>
      <c r="B56" s="22" t="s">
        <v>202</v>
      </c>
      <c r="C56" s="20" t="s">
        <v>214</v>
      </c>
      <c r="D56" s="20" t="str">
        <f>REPT(cash!D8,1)</f>
        <v>22900</v>
      </c>
      <c r="E56" s="19">
        <f>(D56*7.5)/1000</f>
        <v>171.75</v>
      </c>
      <c r="F56" s="20" t="str">
        <f>REPT(cash!E8,1)</f>
        <v>21900</v>
      </c>
      <c r="G56" s="19">
        <f>(F56*7.1)/1000</f>
        <v>155.49</v>
      </c>
      <c r="H56" s="20" t="str">
        <f>REPT(cash!F8,1)</f>
        <v>23900</v>
      </c>
      <c r="I56" s="20" t="str">
        <f>REPT(cash!G8,1)</f>
        <v>договорная</v>
      </c>
      <c r="J56" s="23" t="s">
        <v>131</v>
      </c>
      <c r="K56" s="25" t="s">
        <v>132</v>
      </c>
    </row>
    <row r="57" spans="1:11" ht="51" hidden="1" outlineLevel="1">
      <c r="A57" s="21" t="s">
        <v>129</v>
      </c>
      <c r="B57" s="22" t="s">
        <v>203</v>
      </c>
      <c r="C57" s="20" t="s">
        <v>215</v>
      </c>
      <c r="D57" s="20" t="str">
        <f>REPT(cash!D8,1)</f>
        <v>22900</v>
      </c>
      <c r="E57" s="19">
        <f>(D57*6.5)/1000</f>
        <v>148.85</v>
      </c>
      <c r="F57" s="20" t="str">
        <f>REPT(cash!E8,1)</f>
        <v>21900</v>
      </c>
      <c r="G57" s="19">
        <f>(F57*6.2)/1000</f>
        <v>135.78</v>
      </c>
      <c r="H57" s="20" t="str">
        <f>REPT(cash!F8,1)</f>
        <v>23900</v>
      </c>
      <c r="I57" s="20" t="str">
        <f>REPT(cash!G8,1)</f>
        <v>договорная</v>
      </c>
      <c r="J57" s="23" t="s">
        <v>131</v>
      </c>
      <c r="K57" s="25" t="s">
        <v>132</v>
      </c>
    </row>
    <row r="58" spans="1:11" ht="51" hidden="1" outlineLevel="1">
      <c r="A58" s="21" t="s">
        <v>129</v>
      </c>
      <c r="B58" s="22" t="s">
        <v>204</v>
      </c>
      <c r="C58" s="20" t="s">
        <v>216</v>
      </c>
      <c r="D58" s="20" t="str">
        <f>REPT(cash!D8,1)</f>
        <v>22900</v>
      </c>
      <c r="E58" s="19">
        <f>(D58*6.3)/1000</f>
        <v>144.27000000000001</v>
      </c>
      <c r="F58" s="20" t="str">
        <f>REPT(cash!E8,1)</f>
        <v>21900</v>
      </c>
      <c r="G58" s="19">
        <f>(F58*6)/1000</f>
        <v>131.4</v>
      </c>
      <c r="H58" s="20" t="str">
        <f>REPT(cash!F8,1)</f>
        <v>23900</v>
      </c>
      <c r="I58" s="20" t="str">
        <f>REPT(cash!G8,1)</f>
        <v>договорная</v>
      </c>
      <c r="J58" s="23" t="s">
        <v>131</v>
      </c>
      <c r="K58" s="25" t="s">
        <v>132</v>
      </c>
    </row>
    <row r="59" spans="1:11" ht="34" hidden="1" outlineLevel="1">
      <c r="A59" s="21" t="s">
        <v>129</v>
      </c>
      <c r="B59" s="4" t="s">
        <v>217</v>
      </c>
      <c r="C59" s="4" t="s">
        <v>226</v>
      </c>
      <c r="D59" s="8" t="str">
        <f>REPT(cash!D9,1)</f>
        <v>36800</v>
      </c>
      <c r="E59" s="19">
        <f>(D59*3)/1000</f>
        <v>110.4</v>
      </c>
      <c r="F59" s="20" t="str">
        <f>REPT(cash!E9,1)</f>
        <v>35800</v>
      </c>
      <c r="G59" s="19">
        <f>(F59*2.8)/1000</f>
        <v>100.24</v>
      </c>
      <c r="H59" s="8" t="str">
        <f>REPT(cash!F9,1)</f>
        <v>38200</v>
      </c>
      <c r="I59" s="8" t="str">
        <f>REPT(cash!G9,1)</f>
        <v>договорная</v>
      </c>
      <c r="J59" s="12" t="s">
        <v>131</v>
      </c>
      <c r="K59" s="25" t="s">
        <v>132</v>
      </c>
    </row>
    <row r="60" spans="1:11" ht="34" hidden="1" outlineLevel="1">
      <c r="A60" s="21" t="s">
        <v>129</v>
      </c>
      <c r="B60" s="4" t="s">
        <v>218</v>
      </c>
      <c r="C60" s="4" t="s">
        <v>227</v>
      </c>
      <c r="D60" s="8" t="str">
        <f>REPT(cash!D9,1)</f>
        <v>36800</v>
      </c>
      <c r="E60" s="19">
        <f>(D60*2.9)/1000</f>
        <v>106.72</v>
      </c>
      <c r="F60" s="20" t="str">
        <f>REPT(cash!E9,1)</f>
        <v>35800</v>
      </c>
      <c r="G60" s="19">
        <f>(F60*2.7)/1000</f>
        <v>96.66</v>
      </c>
      <c r="H60" s="8" t="str">
        <f>REPT(cash!F9,1)</f>
        <v>38200</v>
      </c>
      <c r="I60" s="8" t="str">
        <f>REPT(cash!G9,1)</f>
        <v>договорная</v>
      </c>
      <c r="J60" s="12" t="s">
        <v>131</v>
      </c>
      <c r="K60" s="25" t="s">
        <v>132</v>
      </c>
    </row>
    <row r="61" spans="1:11" ht="34" hidden="1" outlineLevel="1">
      <c r="A61" s="21" t="s">
        <v>129</v>
      </c>
      <c r="B61" s="4" t="s">
        <v>219</v>
      </c>
      <c r="C61" s="4" t="s">
        <v>228</v>
      </c>
      <c r="D61" s="8" t="str">
        <f>REPT(cash!D9,1)</f>
        <v>36800</v>
      </c>
      <c r="E61" s="19">
        <f>(D61*3.4)/1000</f>
        <v>125.12</v>
      </c>
      <c r="F61" s="20" t="str">
        <f>REPT(cash!E9,1)</f>
        <v>35800</v>
      </c>
      <c r="G61" s="19">
        <f>(F61*3.3)/1000</f>
        <v>118.14</v>
      </c>
      <c r="H61" s="8" t="str">
        <f>REPT(cash!F9,1)</f>
        <v>38200</v>
      </c>
      <c r="I61" s="8" t="str">
        <f>REPT(cash!G9,1)</f>
        <v>договорная</v>
      </c>
      <c r="J61" s="12" t="s">
        <v>131</v>
      </c>
      <c r="K61" s="25" t="s">
        <v>132</v>
      </c>
    </row>
    <row r="62" spans="1:11" ht="34" hidden="1" outlineLevel="1">
      <c r="A62" s="21" t="s">
        <v>129</v>
      </c>
      <c r="B62" s="4" t="s">
        <v>220</v>
      </c>
      <c r="C62" s="4" t="s">
        <v>229</v>
      </c>
      <c r="D62" s="8" t="str">
        <f>REPT(cash!D9,1)</f>
        <v>36800</v>
      </c>
      <c r="E62" s="19">
        <f>(D62*9.3)/1000</f>
        <v>342.24</v>
      </c>
      <c r="F62" s="20" t="str">
        <f>REPT(cash!E9,1)</f>
        <v>35800</v>
      </c>
      <c r="G62" s="19">
        <f>(F62*8.9)/1000</f>
        <v>318.62</v>
      </c>
      <c r="H62" s="8" t="str">
        <f>REPT(cash!F9,1)</f>
        <v>38200</v>
      </c>
      <c r="I62" s="8" t="str">
        <f>REPT(cash!G9,1)</f>
        <v>договорная</v>
      </c>
      <c r="J62" s="12" t="s">
        <v>131</v>
      </c>
      <c r="K62" s="25" t="s">
        <v>132</v>
      </c>
    </row>
    <row r="63" spans="1:11" ht="34" hidden="1" outlineLevel="1">
      <c r="A63" s="21" t="s">
        <v>129</v>
      </c>
      <c r="B63" s="4" t="s">
        <v>221</v>
      </c>
      <c r="C63" s="4" t="s">
        <v>230</v>
      </c>
      <c r="D63" s="8" t="str">
        <f>REPT(cash!D9,1)</f>
        <v>36800</v>
      </c>
      <c r="E63" s="19">
        <f>(D63*7.9)/1000</f>
        <v>290.72000000000003</v>
      </c>
      <c r="F63" s="20" t="str">
        <f>REPT(cash!E9,1)</f>
        <v>35800</v>
      </c>
      <c r="G63" s="19">
        <f>(F63*7.6)/1000</f>
        <v>272.08</v>
      </c>
      <c r="H63" s="8" t="str">
        <f>REPT(cash!F9,1)</f>
        <v>38200</v>
      </c>
      <c r="I63" s="8" t="str">
        <f>REPT(cash!G9,1)</f>
        <v>договорная</v>
      </c>
      <c r="J63" s="12" t="s">
        <v>131</v>
      </c>
      <c r="K63" s="25" t="s">
        <v>132</v>
      </c>
    </row>
    <row r="64" spans="1:11" ht="34" hidden="1" outlineLevel="1">
      <c r="A64" s="21" t="s">
        <v>129</v>
      </c>
      <c r="B64" s="4" t="s">
        <v>222</v>
      </c>
      <c r="C64" s="4" t="s">
        <v>231</v>
      </c>
      <c r="D64" s="8" t="str">
        <f>REPT(cash!D9,1)</f>
        <v>36800</v>
      </c>
      <c r="E64" s="19">
        <f>(D64*10.3)/1000</f>
        <v>379.04</v>
      </c>
      <c r="F64" s="20" t="str">
        <f>REPT(cash!E9,1)</f>
        <v>35800</v>
      </c>
      <c r="G64" s="19">
        <f>(F64*9.8)/1000</f>
        <v>350.84</v>
      </c>
      <c r="H64" s="8" t="str">
        <f>REPT(cash!F9,1)</f>
        <v>38200</v>
      </c>
      <c r="I64" s="8" t="str">
        <f>REPT(cash!G9,1)</f>
        <v>договорная</v>
      </c>
      <c r="J64" s="12" t="s">
        <v>131</v>
      </c>
      <c r="K64" s="25" t="s">
        <v>132</v>
      </c>
    </row>
    <row r="65" spans="1:11" ht="34" hidden="1" outlineLevel="1">
      <c r="A65" s="21" t="s">
        <v>129</v>
      </c>
      <c r="B65" s="4" t="s">
        <v>223</v>
      </c>
      <c r="C65" s="4" t="s">
        <v>232</v>
      </c>
      <c r="D65" s="8" t="str">
        <f>REPT(cash!D9,1)</f>
        <v>36800</v>
      </c>
      <c r="E65" s="19">
        <f>(D65*12.1)/1000</f>
        <v>445.28</v>
      </c>
      <c r="F65" s="20" t="str">
        <f>REPT(cash!E9,1)</f>
        <v>35800</v>
      </c>
      <c r="G65" s="19">
        <f>(F65*11.5)/1000</f>
        <v>411.7</v>
      </c>
      <c r="H65" s="8" t="str">
        <f>REPT(cash!F9,1)</f>
        <v>38200</v>
      </c>
      <c r="I65" s="8" t="str">
        <f>REPT(cash!G9,1)</f>
        <v>договорная</v>
      </c>
      <c r="J65" s="12" t="s">
        <v>131</v>
      </c>
      <c r="K65" s="25" t="s">
        <v>132</v>
      </c>
    </row>
    <row r="66" spans="1:11" ht="34" hidden="1" outlineLevel="1">
      <c r="A66" s="21" t="s">
        <v>129</v>
      </c>
      <c r="B66" s="4" t="s">
        <v>224</v>
      </c>
      <c r="C66" s="4" t="s">
        <v>233</v>
      </c>
      <c r="D66" s="8" t="str">
        <f>REPT(cash!D9,1)</f>
        <v>36800</v>
      </c>
      <c r="E66" s="19">
        <f>(D66*12.6)/1000</f>
        <v>463.68</v>
      </c>
      <c r="F66" s="20" t="str">
        <f>REPT(cash!E9,1)</f>
        <v>35800</v>
      </c>
      <c r="G66" s="19">
        <f>(F66*12)/1000</f>
        <v>429.6</v>
      </c>
      <c r="H66" s="8" t="str">
        <f>REPT(cash!F9,1)</f>
        <v>38200</v>
      </c>
      <c r="I66" s="8" t="str">
        <f>REPT(cash!G9,1)</f>
        <v>договорная</v>
      </c>
      <c r="J66" s="12" t="s">
        <v>131</v>
      </c>
      <c r="K66" s="25" t="s">
        <v>132</v>
      </c>
    </row>
    <row r="67" spans="1:11" ht="34" hidden="1" outlineLevel="1">
      <c r="A67" s="21" t="s">
        <v>129</v>
      </c>
      <c r="B67" s="4" t="s">
        <v>225</v>
      </c>
      <c r="C67" s="4" t="s">
        <v>234</v>
      </c>
      <c r="D67" s="8" t="str">
        <f>REPT(cash!D9,1)</f>
        <v>36800</v>
      </c>
      <c r="E67" s="19">
        <f>(D67*6.7)/1000</f>
        <v>246.56</v>
      </c>
      <c r="F67" s="20" t="str">
        <f>REPT(cash!E9,1)</f>
        <v>35800</v>
      </c>
      <c r="G67" s="19">
        <f>(F67*6.4)/1000</f>
        <v>229.12</v>
      </c>
      <c r="H67" s="8" t="str">
        <f>REPT(cash!F9,1)</f>
        <v>38200</v>
      </c>
      <c r="I67" s="8" t="str">
        <f>REPT(cash!G9,1)</f>
        <v>договорная</v>
      </c>
      <c r="J67" s="12" t="s">
        <v>131</v>
      </c>
      <c r="K67" s="25" t="s">
        <v>132</v>
      </c>
    </row>
    <row r="68" spans="1:11" ht="17" hidden="1" outlineLevel="1">
      <c r="A68" s="21" t="s">
        <v>129</v>
      </c>
      <c r="B68" s="4" t="s">
        <v>239</v>
      </c>
      <c r="C68" s="8" t="s">
        <v>235</v>
      </c>
      <c r="D68" s="20" t="str">
        <f>REPT(cash!D11,1)</f>
        <v>43800</v>
      </c>
      <c r="E68" s="19">
        <f>(D68*16.7)/1000</f>
        <v>731.46</v>
      </c>
      <c r="F68" s="20" t="str">
        <f>REPT(cash!E11,1)</f>
        <v>42800</v>
      </c>
      <c r="G68" s="19">
        <f>(F68*15.9)/1000</f>
        <v>680.52</v>
      </c>
      <c r="H68" s="8" t="str">
        <f>REPT(cash!F11,1)</f>
        <v>44800</v>
      </c>
      <c r="I68" s="8" t="str">
        <f>REPT(cash!G11,1)</f>
        <v>договорная</v>
      </c>
      <c r="J68" s="12" t="s">
        <v>131</v>
      </c>
      <c r="K68" s="25" t="s">
        <v>132</v>
      </c>
    </row>
    <row r="69" spans="1:11" ht="17" hidden="1" outlineLevel="1">
      <c r="A69" s="21" t="s">
        <v>129</v>
      </c>
      <c r="B69" s="4" t="s">
        <v>240</v>
      </c>
      <c r="C69" s="8" t="s">
        <v>236</v>
      </c>
      <c r="D69" s="20" t="str">
        <f>REPT(cash!D11,1)</f>
        <v>43800</v>
      </c>
      <c r="E69" s="19">
        <f>(D69*16.4)/1000</f>
        <v>718.31999999999994</v>
      </c>
      <c r="F69" s="20" t="str">
        <f>REPT(cash!E11,1)</f>
        <v>42800</v>
      </c>
      <c r="G69" s="19">
        <f>(F69*15.6)/1000</f>
        <v>667.68</v>
      </c>
      <c r="H69" s="8" t="str">
        <f>REPT(cash!F11,1)</f>
        <v>44800</v>
      </c>
      <c r="I69" s="8" t="str">
        <f>REPT(cash!G11,1)</f>
        <v>договорная</v>
      </c>
      <c r="J69" s="12" t="s">
        <v>131</v>
      </c>
      <c r="K69" s="25" t="s">
        <v>132</v>
      </c>
    </row>
    <row r="70" spans="1:11" ht="17" hidden="1" outlineLevel="1">
      <c r="A70" s="21" t="s">
        <v>129</v>
      </c>
      <c r="B70" s="4" t="s">
        <v>241</v>
      </c>
      <c r="C70" s="8" t="s">
        <v>237</v>
      </c>
      <c r="D70" s="20" t="str">
        <f>REPT(cash!D11,1)</f>
        <v>43800</v>
      </c>
      <c r="E70" s="19">
        <f>(D70*26.1)/1000</f>
        <v>1143.18</v>
      </c>
      <c r="F70" s="20" t="str">
        <f>REPT(cash!E11,1)</f>
        <v>42800</v>
      </c>
      <c r="G70" s="19">
        <f>(F70*24.9)/1000</f>
        <v>1065.72</v>
      </c>
      <c r="H70" s="8" t="str">
        <f>REPT(cash!F11,1)</f>
        <v>44800</v>
      </c>
      <c r="I70" s="8" t="str">
        <f>REPT(cash!G11,1)</f>
        <v>договорная</v>
      </c>
      <c r="J70" s="12" t="s">
        <v>131</v>
      </c>
      <c r="K70" s="25" t="s">
        <v>132</v>
      </c>
    </row>
    <row r="71" spans="1:11" ht="17" hidden="1" outlineLevel="1">
      <c r="A71" s="21" t="s">
        <v>129</v>
      </c>
      <c r="B71" s="26" t="s">
        <v>242</v>
      </c>
      <c r="C71" s="8" t="s">
        <v>238</v>
      </c>
      <c r="D71" s="20" t="str">
        <f>REPT(cash!D11,1)</f>
        <v>43800</v>
      </c>
      <c r="E71" s="19">
        <f>(D71*14.7)/1000</f>
        <v>643.86</v>
      </c>
      <c r="F71" s="20" t="str">
        <f>REPT(cash!E11,1)</f>
        <v>42800</v>
      </c>
      <c r="G71" s="19">
        <f>(F71*14)/1000</f>
        <v>599.20000000000005</v>
      </c>
      <c r="H71" s="8" t="str">
        <f>REPT(cash!F11,1)</f>
        <v>44800</v>
      </c>
      <c r="I71" s="8" t="str">
        <f>REPT(cash!G11,1)</f>
        <v>договорная</v>
      </c>
      <c r="J71" s="12" t="s">
        <v>131</v>
      </c>
      <c r="K71" s="25" t="s">
        <v>132</v>
      </c>
    </row>
    <row r="72" spans="1:11" ht="34" hidden="1" outlineLevel="1">
      <c r="A72" s="21" t="s">
        <v>129</v>
      </c>
      <c r="B72" s="4" t="s">
        <v>243</v>
      </c>
      <c r="C72" s="22" t="s">
        <v>248</v>
      </c>
      <c r="D72" s="20" t="str">
        <f>REPT(cash!D14,1)</f>
        <v>договорная</v>
      </c>
      <c r="E72" s="19" t="e">
        <f>(D72*9.2)/1000</f>
        <v>#VALUE!</v>
      </c>
      <c r="F72" s="20" t="str">
        <f>REPT(cash!E14,1)</f>
        <v>договорная</v>
      </c>
      <c r="G72" s="19" t="e">
        <f>(F72*8.8)/1000</f>
        <v>#VALUE!</v>
      </c>
      <c r="H72" s="20" t="str">
        <f>REPT(cash!F14,1)</f>
        <v>договорная</v>
      </c>
      <c r="I72" s="20" t="str">
        <f>REPT(cash!G14,1)</f>
        <v>договорная</v>
      </c>
      <c r="J72" s="12" t="s">
        <v>131</v>
      </c>
      <c r="K72" s="25" t="s">
        <v>132</v>
      </c>
    </row>
    <row r="73" spans="1:11" ht="34" hidden="1" outlineLevel="1">
      <c r="A73" s="21" t="s">
        <v>129</v>
      </c>
      <c r="B73" s="4" t="s">
        <v>244</v>
      </c>
      <c r="C73" s="22" t="s">
        <v>249</v>
      </c>
      <c r="D73" s="20" t="str">
        <f>REPT(cash!D14,1)</f>
        <v>договорная</v>
      </c>
      <c r="E73" s="19" t="e">
        <f>(D73*24.2)/1000</f>
        <v>#VALUE!</v>
      </c>
      <c r="F73" s="20" t="str">
        <f>REPT(cash!E14,1)</f>
        <v>договорная</v>
      </c>
      <c r="G73" s="19" t="e">
        <f>(F73*23.1)/1000</f>
        <v>#VALUE!</v>
      </c>
      <c r="H73" s="20" t="str">
        <f>REPT(cash!F14,1)</f>
        <v>договорная</v>
      </c>
      <c r="I73" s="20" t="str">
        <f>REPT(cash!G14,1)</f>
        <v>договорная</v>
      </c>
      <c r="J73" s="12" t="s">
        <v>131</v>
      </c>
      <c r="K73" s="25" t="s">
        <v>132</v>
      </c>
    </row>
    <row r="74" spans="1:11" ht="34" hidden="1" outlineLevel="1">
      <c r="A74" s="21" t="s">
        <v>129</v>
      </c>
      <c r="B74" s="4" t="s">
        <v>245</v>
      </c>
      <c r="C74" s="22" t="s">
        <v>250</v>
      </c>
      <c r="D74" s="20" t="str">
        <f>REPT(cash!D14,1)</f>
        <v>договорная</v>
      </c>
      <c r="E74" s="19" t="e">
        <f>(D74*23.1)/1000</f>
        <v>#VALUE!</v>
      </c>
      <c r="F74" s="20" t="str">
        <f>REPT(cash!E14,1)</f>
        <v>договорная</v>
      </c>
      <c r="G74" s="19" t="e">
        <f>(F74*22)/1000</f>
        <v>#VALUE!</v>
      </c>
      <c r="H74" s="20" t="str">
        <f>REPT(cash!F14,1)</f>
        <v>договорная</v>
      </c>
      <c r="I74" s="20" t="str">
        <f>REPT(cash!G14,1)</f>
        <v>договорная</v>
      </c>
      <c r="J74" s="12" t="s">
        <v>131</v>
      </c>
      <c r="K74" s="25" t="s">
        <v>132</v>
      </c>
    </row>
    <row r="75" spans="1:11" ht="34" hidden="1" outlineLevel="1">
      <c r="A75" s="21" t="s">
        <v>129</v>
      </c>
      <c r="B75" s="4" t="s">
        <v>246</v>
      </c>
      <c r="C75" s="22" t="s">
        <v>251</v>
      </c>
      <c r="D75" s="20" t="str">
        <f>REPT(cash!D14,1)</f>
        <v>договорная</v>
      </c>
      <c r="E75" s="19" t="e">
        <f>(D75*21.3)/1000</f>
        <v>#VALUE!</v>
      </c>
      <c r="F75" s="20" t="str">
        <f>REPT(cash!E14,1)</f>
        <v>договорная</v>
      </c>
      <c r="G75" s="19" t="e">
        <f>(F75*20.3)/1000</f>
        <v>#VALUE!</v>
      </c>
      <c r="H75" s="20" t="str">
        <f>REPT(cash!F14,1)</f>
        <v>договорная</v>
      </c>
      <c r="I75" s="20" t="str">
        <f>REPT(cash!G14,1)</f>
        <v>договорная</v>
      </c>
      <c r="J75" s="12" t="s">
        <v>131</v>
      </c>
      <c r="K75" s="25" t="s">
        <v>132</v>
      </c>
    </row>
    <row r="76" spans="1:11" ht="34" hidden="1" outlineLevel="1">
      <c r="A76" s="21" t="s">
        <v>129</v>
      </c>
      <c r="B76" s="4" t="s">
        <v>247</v>
      </c>
      <c r="C76" s="27" t="s">
        <v>252</v>
      </c>
      <c r="D76" s="20" t="str">
        <f>REPT(cash!D14,1)</f>
        <v>договорная</v>
      </c>
      <c r="E76" s="19" t="e">
        <f>(D76*19.8)/1000</f>
        <v>#VALUE!</v>
      </c>
      <c r="F76" s="20" t="str">
        <f>REPT(cash!E14,1)</f>
        <v>договорная</v>
      </c>
      <c r="G76" s="19" t="e">
        <f>(F76*18.8)/1000</f>
        <v>#VALUE!</v>
      </c>
      <c r="H76" s="20" t="str">
        <f>REPT(cash!F14,1)</f>
        <v>договорная</v>
      </c>
      <c r="I76" s="20" t="str">
        <f>REPT(cash!G14,1)</f>
        <v>договорная</v>
      </c>
      <c r="J76" s="12" t="s">
        <v>131</v>
      </c>
      <c r="K76" s="25" t="s">
        <v>132</v>
      </c>
    </row>
    <row r="77" spans="1:11" ht="17" hidden="1" outlineLevel="1">
      <c r="A77" s="21" t="s">
        <v>129</v>
      </c>
      <c r="B77" s="4" t="s">
        <v>534</v>
      </c>
      <c r="C77" s="8" t="s">
        <v>545</v>
      </c>
      <c r="D77" s="110" t="str">
        <f>REPT(cash!D15,1)</f>
        <v>182000</v>
      </c>
      <c r="E77" s="112"/>
      <c r="F77" s="8" t="str">
        <f>REPT(cash!E15,1)</f>
        <v>181000</v>
      </c>
      <c r="G77" s="19">
        <f>(F77*18.8)/1000</f>
        <v>3402.8</v>
      </c>
      <c r="H77" s="20" t="str">
        <f>REPT(cash!F15,1)</f>
        <v>186000</v>
      </c>
      <c r="I77" s="20" t="str">
        <f>REPT(cash!G15,1)</f>
        <v>договорная</v>
      </c>
      <c r="J77" s="8" t="s">
        <v>131</v>
      </c>
      <c r="K77" s="12" t="s">
        <v>132</v>
      </c>
    </row>
    <row r="78" spans="1:11" ht="17" hidden="1" outlineLevel="1">
      <c r="A78" s="21" t="s">
        <v>129</v>
      </c>
      <c r="B78" s="4" t="s">
        <v>535</v>
      </c>
      <c r="C78" s="82" t="s">
        <v>545</v>
      </c>
      <c r="D78" s="110" t="str">
        <f>REPT(cash!D15,1)</f>
        <v>182000</v>
      </c>
      <c r="E78" s="112"/>
      <c r="F78" s="110" t="str">
        <f>REPT(cash!E15,1)</f>
        <v>181000</v>
      </c>
      <c r="G78" s="112"/>
      <c r="H78" s="82" t="str">
        <f>REPT(cash!F15,1)</f>
        <v>186000</v>
      </c>
      <c r="I78" s="82" t="str">
        <f>REPT(cash!G15,1)</f>
        <v>договорная</v>
      </c>
      <c r="J78" s="8" t="s">
        <v>131</v>
      </c>
      <c r="K78" s="12" t="s">
        <v>132</v>
      </c>
    </row>
    <row r="79" spans="1:11" ht="17" hidden="1" outlineLevel="1">
      <c r="A79" s="21" t="s">
        <v>129</v>
      </c>
      <c r="B79" s="4" t="s">
        <v>536</v>
      </c>
      <c r="C79" s="82" t="s">
        <v>545</v>
      </c>
      <c r="D79" s="110" t="str">
        <f>REPT(cash!D16,1)</f>
        <v>132</v>
      </c>
      <c r="E79" s="112"/>
      <c r="F79" s="110" t="str">
        <f>REPT(cash!E16,1)</f>
        <v>128</v>
      </c>
      <c r="G79" s="112"/>
      <c r="H79" s="82" t="str">
        <f>REPT(cash!F16,1)</f>
        <v>договорная</v>
      </c>
      <c r="I79" s="82" t="str">
        <f>REPT(cash!G16,1)</f>
        <v>договорная</v>
      </c>
      <c r="J79" s="8" t="s">
        <v>131</v>
      </c>
      <c r="K79" s="12" t="s">
        <v>132</v>
      </c>
    </row>
    <row r="80" spans="1:11" ht="17" hidden="1" outlineLevel="1">
      <c r="A80" s="21" t="s">
        <v>129</v>
      </c>
      <c r="B80" s="4" t="s">
        <v>537</v>
      </c>
      <c r="C80" s="82" t="s">
        <v>545</v>
      </c>
      <c r="D80" s="110" t="str">
        <f>REPT(cash!D16,1)</f>
        <v>132</v>
      </c>
      <c r="E80" s="112"/>
      <c r="F80" s="110" t="str">
        <f>REPT(cash!E16,1)</f>
        <v>128</v>
      </c>
      <c r="G80" s="112"/>
      <c r="H80" s="82" t="str">
        <f>REPT(cash!F16,1)</f>
        <v>договорная</v>
      </c>
      <c r="I80" s="82" t="str">
        <f>REPT(cash!G16,1)</f>
        <v>договорная</v>
      </c>
      <c r="J80" s="8" t="s">
        <v>131</v>
      </c>
      <c r="K80" s="12" t="s">
        <v>132</v>
      </c>
    </row>
    <row r="81" spans="1:11" ht="17" hidden="1" outlineLevel="1">
      <c r="A81" s="21" t="s">
        <v>129</v>
      </c>
      <c r="B81" s="4" t="s">
        <v>538</v>
      </c>
      <c r="C81" s="82" t="s">
        <v>545</v>
      </c>
      <c r="D81" s="110" t="str">
        <f>REPT(cash!D16,1)</f>
        <v>132</v>
      </c>
      <c r="E81" s="112"/>
      <c r="F81" s="110" t="str">
        <f>REPT(cash!E16,1)</f>
        <v>128</v>
      </c>
      <c r="G81" s="112"/>
      <c r="H81" s="82" t="str">
        <f>REPT(cash!F16,1)</f>
        <v>договорная</v>
      </c>
      <c r="I81" s="82" t="str">
        <f>REPT(cash!G16,1)</f>
        <v>договорная</v>
      </c>
      <c r="J81" s="8" t="s">
        <v>131</v>
      </c>
      <c r="K81" s="12" t="s">
        <v>132</v>
      </c>
    </row>
    <row r="82" spans="1:11" ht="17" hidden="1" outlineLevel="1">
      <c r="A82" s="21" t="s">
        <v>129</v>
      </c>
      <c r="B82" s="4" t="s">
        <v>539</v>
      </c>
      <c r="C82" s="82" t="s">
        <v>548</v>
      </c>
      <c r="D82" s="110" t="str">
        <f>REPT(cash!D17,1)</f>
        <v>520</v>
      </c>
      <c r="E82" s="112"/>
      <c r="F82" s="110" t="str">
        <f>REPT(cash!E17,1)</f>
        <v>510</v>
      </c>
      <c r="G82" s="112"/>
      <c r="H82" s="82" t="str">
        <f>REPT(cash!F17,1)</f>
        <v>договорная</v>
      </c>
      <c r="I82" s="82" t="str">
        <f>REPT(cash!G17,1)</f>
        <v>договорная</v>
      </c>
      <c r="J82" s="8" t="s">
        <v>131</v>
      </c>
      <c r="K82" s="12" t="s">
        <v>132</v>
      </c>
    </row>
    <row r="83" spans="1:11" ht="17" hidden="1" outlineLevel="1">
      <c r="A83" s="21" t="s">
        <v>129</v>
      </c>
      <c r="B83" s="4" t="s">
        <v>541</v>
      </c>
      <c r="C83" s="82" t="s">
        <v>546</v>
      </c>
      <c r="D83" s="110" t="str">
        <f>REPT(cash!D18,1)</f>
        <v>780</v>
      </c>
      <c r="E83" s="112"/>
      <c r="F83" s="110" t="str">
        <f>REPT(cash!E18,1)</f>
        <v>770</v>
      </c>
      <c r="G83" s="112"/>
      <c r="H83" s="82" t="str">
        <f>REPT(cash!F18,1)</f>
        <v>договорная</v>
      </c>
      <c r="I83" s="82" t="str">
        <f>REPT(cash!G18,1)</f>
        <v>договорная</v>
      </c>
      <c r="J83" s="8" t="s">
        <v>131</v>
      </c>
      <c r="K83" s="12" t="s">
        <v>132</v>
      </c>
    </row>
    <row r="84" spans="1:11" ht="17" hidden="1" outlineLevel="1">
      <c r="A84" s="21" t="s">
        <v>129</v>
      </c>
      <c r="B84" s="4" t="s">
        <v>540</v>
      </c>
      <c r="C84" s="82" t="s">
        <v>547</v>
      </c>
      <c r="D84" s="110" t="str">
        <f>REPT(cash!D19,1)</f>
        <v>960</v>
      </c>
      <c r="E84" s="112"/>
      <c r="F84" s="110" t="str">
        <f>REPT(cash!E19,1)</f>
        <v>950</v>
      </c>
      <c r="G84" s="112"/>
      <c r="H84" s="82" t="str">
        <f>REPT(cash!F19,1)</f>
        <v>договорная</v>
      </c>
      <c r="I84" s="82" t="str">
        <f>REPT(cash!G19,1)</f>
        <v>договорная</v>
      </c>
      <c r="J84" s="8" t="s">
        <v>131</v>
      </c>
      <c r="K84" s="12" t="s">
        <v>132</v>
      </c>
    </row>
    <row r="85" spans="1:11" ht="17" hidden="1" outlineLevel="1">
      <c r="A85" s="21" t="s">
        <v>129</v>
      </c>
      <c r="B85" s="4" t="s">
        <v>542</v>
      </c>
      <c r="C85" s="82" t="s">
        <v>550</v>
      </c>
      <c r="D85" s="110" t="str">
        <f>REPT(cash!D22,1)</f>
        <v>68000</v>
      </c>
      <c r="E85" s="111"/>
      <c r="F85" s="111"/>
      <c r="G85" s="112"/>
      <c r="H85" s="110" t="str">
        <f>REPT(cash!F22,1)</f>
        <v>договорная</v>
      </c>
      <c r="I85" s="112"/>
      <c r="J85" s="8" t="s">
        <v>131</v>
      </c>
      <c r="K85" s="12" t="s">
        <v>132</v>
      </c>
    </row>
    <row r="86" spans="1:11" ht="17" hidden="1" outlineLevel="1">
      <c r="A86" s="21" t="s">
        <v>129</v>
      </c>
      <c r="B86" s="4" t="s">
        <v>543</v>
      </c>
      <c r="C86" s="8" t="s">
        <v>550</v>
      </c>
      <c r="D86" s="110" t="str">
        <f>REPT(cash!D23,1)</f>
        <v>72000</v>
      </c>
      <c r="E86" s="111"/>
      <c r="F86" s="111"/>
      <c r="G86" s="112"/>
      <c r="H86" s="110" t="str">
        <f>REPT(cash!F23,1)</f>
        <v>договорная</v>
      </c>
      <c r="I86" s="112"/>
      <c r="J86" s="8" t="s">
        <v>131</v>
      </c>
      <c r="K86" s="12" t="s">
        <v>132</v>
      </c>
    </row>
    <row r="87" spans="1:11" ht="17" hidden="1" outlineLevel="1">
      <c r="A87" s="21" t="s">
        <v>129</v>
      </c>
      <c r="B87" s="4" t="s">
        <v>544</v>
      </c>
      <c r="C87" s="8" t="s">
        <v>549</v>
      </c>
      <c r="D87" s="110" t="str">
        <f>REPT(cash!D23,1)</f>
        <v>72000</v>
      </c>
      <c r="E87" s="111"/>
      <c r="F87" s="111"/>
      <c r="G87" s="112"/>
      <c r="H87" s="110" t="str">
        <f>REPT(cash!F23,1)</f>
        <v>договорная</v>
      </c>
      <c r="I87" s="112"/>
      <c r="J87" s="8" t="s">
        <v>131</v>
      </c>
      <c r="K87" s="12" t="s">
        <v>132</v>
      </c>
    </row>
    <row r="88" spans="1:11" ht="17" customHeight="1" collapsed="1" thickBot="1">
      <c r="A88" s="115" t="s">
        <v>292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7"/>
    </row>
    <row r="89" spans="1:11" ht="17" thickBot="1">
      <c r="A89" s="143" t="s">
        <v>287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6"/>
    </row>
    <row r="90" spans="1:11" ht="17" hidden="1" customHeight="1" outlineLevel="1" thickBot="1">
      <c r="A90" s="121" t="s">
        <v>123</v>
      </c>
      <c r="B90" s="123" t="s">
        <v>122</v>
      </c>
      <c r="C90" s="121" t="s">
        <v>117</v>
      </c>
      <c r="D90" s="125" t="s">
        <v>124</v>
      </c>
      <c r="E90" s="126"/>
      <c r="F90" s="126"/>
      <c r="G90" s="127"/>
      <c r="H90" s="125" t="s">
        <v>283</v>
      </c>
      <c r="I90" s="127"/>
      <c r="J90" s="121" t="s">
        <v>126</v>
      </c>
      <c r="K90" s="121" t="s">
        <v>130</v>
      </c>
    </row>
    <row r="91" spans="1:11" ht="17" hidden="1" outlineLevel="1" thickBot="1">
      <c r="A91" s="122"/>
      <c r="B91" s="124"/>
      <c r="C91" s="122"/>
      <c r="D91" s="125" t="s">
        <v>153</v>
      </c>
      <c r="E91" s="127"/>
      <c r="F91" s="125" t="s">
        <v>154</v>
      </c>
      <c r="G91" s="127"/>
      <c r="H91" s="56" t="s">
        <v>153</v>
      </c>
      <c r="I91" s="56" t="s">
        <v>154</v>
      </c>
      <c r="J91" s="122"/>
      <c r="K91" s="122"/>
    </row>
    <row r="92" spans="1:11" ht="17" hidden="1" outlineLevel="1">
      <c r="A92" s="50" t="s">
        <v>281</v>
      </c>
      <c r="B92" s="11" t="s">
        <v>141</v>
      </c>
      <c r="C92" s="11" t="s">
        <v>147</v>
      </c>
      <c r="D92" s="132" t="str">
        <f>REPT(cash!D25,1)</f>
        <v>52000</v>
      </c>
      <c r="E92" s="134"/>
      <c r="F92" s="153">
        <f>(D92*1.7)/1000</f>
        <v>88.4</v>
      </c>
      <c r="G92" s="154"/>
      <c r="H92" s="51" t="str">
        <f>REPT(cash!F25,1)</f>
        <v>договорная</v>
      </c>
      <c r="I92" s="51" t="str">
        <f>REPT(cash!F25,1)</f>
        <v>договорная</v>
      </c>
      <c r="J92" s="13" t="s">
        <v>131</v>
      </c>
      <c r="K92" s="13" t="s">
        <v>132</v>
      </c>
    </row>
    <row r="93" spans="1:11" ht="17" hidden="1" outlineLevel="1">
      <c r="A93" s="21" t="s">
        <v>281</v>
      </c>
      <c r="B93" s="6" t="s">
        <v>144</v>
      </c>
      <c r="C93" s="11" t="s">
        <v>150</v>
      </c>
      <c r="D93" s="110" t="str">
        <f>REPT(cash!D25,1)</f>
        <v>52000</v>
      </c>
      <c r="E93" s="112"/>
      <c r="F93" s="141">
        <f>(D93*2)/1000</f>
        <v>104</v>
      </c>
      <c r="G93" s="142"/>
      <c r="H93" s="51" t="str">
        <f>REPT(cash!F25,1)</f>
        <v>договорная</v>
      </c>
      <c r="I93" s="8" t="str">
        <f>REPT(cash!F25,1)</f>
        <v>договорная</v>
      </c>
      <c r="J93" s="12" t="s">
        <v>131</v>
      </c>
      <c r="K93" s="13" t="s">
        <v>132</v>
      </c>
    </row>
    <row r="94" spans="1:11" ht="34" hidden="1" outlineLevel="1">
      <c r="A94" s="21" t="s">
        <v>281</v>
      </c>
      <c r="B94" s="4" t="s">
        <v>168</v>
      </c>
      <c r="C94" s="8" t="s">
        <v>172</v>
      </c>
      <c r="D94" s="110" t="str">
        <f>REPT(cash!D26,1)</f>
        <v>58600</v>
      </c>
      <c r="E94" s="112"/>
      <c r="F94" s="141">
        <f>(D94*1.5)/1000</f>
        <v>87.9</v>
      </c>
      <c r="G94" s="142"/>
      <c r="H94" s="51" t="str">
        <f>REPT(cash!F26,1)</f>
        <v>договорная</v>
      </c>
      <c r="I94" s="8" t="str">
        <f>REPT(cash!F26,1)</f>
        <v>договорная</v>
      </c>
      <c r="J94" s="12" t="s">
        <v>131</v>
      </c>
      <c r="K94" s="13" t="s">
        <v>132</v>
      </c>
    </row>
    <row r="95" spans="1:11" ht="34" hidden="1" outlineLevel="1">
      <c r="A95" s="21" t="s">
        <v>281</v>
      </c>
      <c r="B95" s="4" t="s">
        <v>169</v>
      </c>
      <c r="C95" s="8" t="s">
        <v>173</v>
      </c>
      <c r="D95" s="110" t="str">
        <f>REPT(cash!D26,1)</f>
        <v>58600</v>
      </c>
      <c r="E95" s="112"/>
      <c r="F95" s="141">
        <f>(D95*1.4)/1000</f>
        <v>82.04</v>
      </c>
      <c r="G95" s="142"/>
      <c r="H95" s="51" t="str">
        <f>REPT(cash!F26,1)</f>
        <v>договорная</v>
      </c>
      <c r="I95" s="8" t="str">
        <f>REPT(cash!F26,1)</f>
        <v>договорная</v>
      </c>
      <c r="J95" s="12" t="s">
        <v>131</v>
      </c>
      <c r="K95" s="13" t="s">
        <v>132</v>
      </c>
    </row>
    <row r="96" spans="1:11" ht="34" hidden="1" outlineLevel="1">
      <c r="A96" s="21" t="s">
        <v>281</v>
      </c>
      <c r="B96" s="22" t="s">
        <v>193</v>
      </c>
      <c r="C96" s="20" t="s">
        <v>207</v>
      </c>
      <c r="D96" s="110" t="str">
        <f>REPT(cash!D27,1)</f>
        <v>58600</v>
      </c>
      <c r="E96" s="112"/>
      <c r="F96" s="141">
        <f>(D96*1.6)/1000</f>
        <v>93.76</v>
      </c>
      <c r="G96" s="142"/>
      <c r="H96" s="51" t="str">
        <f>REPT(cash!F27,1)</f>
        <v>договорная</v>
      </c>
      <c r="I96" s="8" t="str">
        <f>REPT(cash!F27,1)</f>
        <v>договорная</v>
      </c>
      <c r="J96" s="12" t="s">
        <v>131</v>
      </c>
      <c r="K96" s="13" t="s">
        <v>132</v>
      </c>
    </row>
    <row r="97" spans="1:11" ht="34" hidden="1" outlineLevel="1">
      <c r="A97" s="21" t="s">
        <v>281</v>
      </c>
      <c r="B97" s="22" t="s">
        <v>194</v>
      </c>
      <c r="C97" s="20" t="s">
        <v>208</v>
      </c>
      <c r="D97" s="110" t="str">
        <f>REPT(cash!D27,1)</f>
        <v>58600</v>
      </c>
      <c r="E97" s="112"/>
      <c r="F97" s="141">
        <f>(D97*1.4)/1000</f>
        <v>82.04</v>
      </c>
      <c r="G97" s="142"/>
      <c r="H97" s="51" t="str">
        <f>REPT(cash!F27,1)</f>
        <v>договорная</v>
      </c>
      <c r="I97" s="8" t="str">
        <f>REPT(cash!F27,1)</f>
        <v>договорная</v>
      </c>
      <c r="J97" s="12" t="s">
        <v>131</v>
      </c>
      <c r="K97" s="13" t="s">
        <v>132</v>
      </c>
    </row>
    <row r="98" spans="1:11" ht="17" collapsed="1" thickBot="1">
      <c r="A98" s="115" t="s">
        <v>292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7"/>
    </row>
    <row r="99" spans="1:11" ht="17" thickBot="1">
      <c r="A99" s="143" t="s">
        <v>288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6"/>
    </row>
    <row r="100" spans="1:11" ht="17" hidden="1" customHeight="1" outlineLevel="1" thickBot="1">
      <c r="A100" s="121" t="s">
        <v>123</v>
      </c>
      <c r="B100" s="123" t="s">
        <v>122</v>
      </c>
      <c r="C100" s="121" t="s">
        <v>117</v>
      </c>
      <c r="D100" s="125" t="s">
        <v>124</v>
      </c>
      <c r="E100" s="126"/>
      <c r="F100" s="126"/>
      <c r="G100" s="127"/>
      <c r="H100" s="125" t="s">
        <v>283</v>
      </c>
      <c r="I100" s="127"/>
      <c r="J100" s="121" t="s">
        <v>126</v>
      </c>
      <c r="K100" s="121" t="s">
        <v>130</v>
      </c>
    </row>
    <row r="101" spans="1:11" ht="17" hidden="1" outlineLevel="1" thickBot="1">
      <c r="A101" s="122"/>
      <c r="B101" s="124"/>
      <c r="C101" s="122"/>
      <c r="D101" s="125" t="s">
        <v>153</v>
      </c>
      <c r="E101" s="127"/>
      <c r="F101" s="125" t="s">
        <v>154</v>
      </c>
      <c r="G101" s="127"/>
      <c r="H101" s="56" t="s">
        <v>153</v>
      </c>
      <c r="I101" s="56" t="s">
        <v>154</v>
      </c>
      <c r="J101" s="122"/>
      <c r="K101" s="122"/>
    </row>
    <row r="102" spans="1:11" ht="17" hidden="1" outlineLevel="1">
      <c r="A102" s="9" t="s">
        <v>282</v>
      </c>
      <c r="B102" s="11" t="s">
        <v>141</v>
      </c>
      <c r="C102" s="11" t="s">
        <v>147</v>
      </c>
      <c r="D102" s="110" t="str">
        <f>REPT(cash!D29,1)</f>
        <v>46800</v>
      </c>
      <c r="E102" s="112"/>
      <c r="F102" s="141">
        <f>(D102*2.2)/1000</f>
        <v>102.96000000000001</v>
      </c>
      <c r="G102" s="142"/>
      <c r="H102" s="8" t="str">
        <f>REPT(cash!F29,1)</f>
        <v>договорная</v>
      </c>
      <c r="I102" s="8" t="str">
        <f>REPT(cash!F29,1)</f>
        <v>договорная</v>
      </c>
      <c r="J102" s="12" t="s">
        <v>131</v>
      </c>
      <c r="K102" s="13" t="s">
        <v>132</v>
      </c>
    </row>
    <row r="103" spans="1:11" ht="17" hidden="1" outlineLevel="1">
      <c r="A103" s="9" t="s">
        <v>282</v>
      </c>
      <c r="B103" s="6" t="s">
        <v>142</v>
      </c>
      <c r="C103" s="11" t="s">
        <v>148</v>
      </c>
      <c r="D103" s="110" t="str">
        <f>REPT(cash!D31,1)</f>
        <v>49800</v>
      </c>
      <c r="E103" s="112"/>
      <c r="F103" s="141">
        <f t="shared" ref="F103" si="2">(D103*1.4)/1000</f>
        <v>69.72</v>
      </c>
      <c r="G103" s="142"/>
      <c r="H103" s="8" t="str">
        <f>REPT(cash!F31,1)</f>
        <v>договорная</v>
      </c>
      <c r="I103" s="8" t="str">
        <f>REPT(cash!F31,1)</f>
        <v>договорная</v>
      </c>
      <c r="J103" s="12" t="s">
        <v>131</v>
      </c>
      <c r="K103" s="13" t="s">
        <v>132</v>
      </c>
    </row>
    <row r="104" spans="1:11" ht="17" hidden="1" outlineLevel="1">
      <c r="A104" s="9" t="s">
        <v>282</v>
      </c>
      <c r="B104" s="6" t="s">
        <v>144</v>
      </c>
      <c r="C104" s="11" t="s">
        <v>150</v>
      </c>
      <c r="D104" s="110" t="str">
        <f>REPT(cash!D29,1)</f>
        <v>46800</v>
      </c>
      <c r="E104" s="112"/>
      <c r="F104" s="141">
        <f>(D104*2.6)/1000</f>
        <v>121.68</v>
      </c>
      <c r="G104" s="142"/>
      <c r="H104" s="8" t="str">
        <f>REPT(cash!F29,1)</f>
        <v>договорная</v>
      </c>
      <c r="I104" s="8" t="str">
        <f>REPT(cash!F29,1)</f>
        <v>договорная</v>
      </c>
      <c r="J104" s="12" t="s">
        <v>131</v>
      </c>
      <c r="K104" s="13" t="s">
        <v>132</v>
      </c>
    </row>
    <row r="105" spans="1:11" ht="34" hidden="1" outlineLevel="1">
      <c r="A105" s="9" t="s">
        <v>282</v>
      </c>
      <c r="B105" s="4" t="s">
        <v>168</v>
      </c>
      <c r="C105" s="8" t="s">
        <v>172</v>
      </c>
      <c r="D105" s="110" t="str">
        <f>REPT(cash!D30,1)</f>
        <v>47200</v>
      </c>
      <c r="E105" s="112"/>
      <c r="F105" s="141">
        <f>(D105*2.1)/1000</f>
        <v>99.12</v>
      </c>
      <c r="G105" s="142"/>
      <c r="H105" s="8" t="str">
        <f>REPT(cash!F30,1)</f>
        <v>договорная</v>
      </c>
      <c r="I105" s="8" t="str">
        <f>REPT(cash!F30,1)</f>
        <v>договорная</v>
      </c>
      <c r="J105" s="12" t="s">
        <v>131</v>
      </c>
      <c r="K105" s="13" t="s">
        <v>132</v>
      </c>
    </row>
    <row r="106" spans="1:11" ht="34" hidden="1" outlineLevel="1">
      <c r="A106" s="9" t="s">
        <v>282</v>
      </c>
      <c r="B106" s="4" t="s">
        <v>169</v>
      </c>
      <c r="C106" s="8" t="s">
        <v>173</v>
      </c>
      <c r="D106" s="110" t="str">
        <f>REPT(cash!D30,1)</f>
        <v>47200</v>
      </c>
      <c r="E106" s="112"/>
      <c r="F106" s="141">
        <f>(D106*1.9)/1000</f>
        <v>89.68</v>
      </c>
      <c r="G106" s="142"/>
      <c r="H106" s="8" t="str">
        <f>REPT(cash!F30,1)</f>
        <v>договорная</v>
      </c>
      <c r="I106" s="8" t="str">
        <f>REPT(cash!F30,1)</f>
        <v>договорная</v>
      </c>
      <c r="J106" s="12" t="s">
        <v>131</v>
      </c>
      <c r="K106" s="13" t="s">
        <v>132</v>
      </c>
    </row>
    <row r="107" spans="1:11" ht="34" hidden="1" outlineLevel="1">
      <c r="A107" s="9" t="s">
        <v>282</v>
      </c>
      <c r="B107" s="22" t="s">
        <v>193</v>
      </c>
      <c r="C107" s="20" t="s">
        <v>207</v>
      </c>
      <c r="D107" s="110" t="str">
        <f>REPT(cash!D30,1)</f>
        <v>47200</v>
      </c>
      <c r="E107" s="112"/>
      <c r="F107" s="141">
        <f>(D107*2.1)/1000</f>
        <v>99.12</v>
      </c>
      <c r="G107" s="142"/>
      <c r="H107" s="8" t="str">
        <f>REPT(cash!F30,1)</f>
        <v>договорная</v>
      </c>
      <c r="I107" s="8" t="str">
        <f>REPT(cash!F30,1)</f>
        <v>договорная</v>
      </c>
      <c r="J107" s="12" t="s">
        <v>131</v>
      </c>
      <c r="K107" s="13" t="s">
        <v>132</v>
      </c>
    </row>
    <row r="108" spans="1:11" ht="34" hidden="1" outlineLevel="1">
      <c r="A108" s="9" t="s">
        <v>282</v>
      </c>
      <c r="B108" s="22" t="s">
        <v>194</v>
      </c>
      <c r="C108" s="20" t="s">
        <v>208</v>
      </c>
      <c r="D108" s="110" t="str">
        <f>REPT(cash!D30,1)</f>
        <v>47200</v>
      </c>
      <c r="E108" s="112"/>
      <c r="F108" s="141">
        <f>(D108*1.9)/1000</f>
        <v>89.68</v>
      </c>
      <c r="G108" s="142"/>
      <c r="H108" s="8" t="str">
        <f>REPT(cash!F30,1)</f>
        <v>договорная</v>
      </c>
      <c r="I108" s="8" t="str">
        <f>REPT(cash!F30,1)</f>
        <v>договорная</v>
      </c>
      <c r="J108" s="12" t="s">
        <v>131</v>
      </c>
      <c r="K108" s="13" t="s">
        <v>132</v>
      </c>
    </row>
    <row r="109" spans="1:11" ht="17" collapsed="1" thickBot="1">
      <c r="A109" s="115" t="s">
        <v>292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ht="17" thickBot="1">
      <c r="A110" s="143" t="s">
        <v>289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6"/>
    </row>
    <row r="111" spans="1:11" ht="17" hidden="1" outlineLevel="1" thickBot="1">
      <c r="A111" s="121" t="s">
        <v>123</v>
      </c>
      <c r="B111" s="123" t="s">
        <v>122</v>
      </c>
      <c r="C111" s="121" t="s">
        <v>117</v>
      </c>
      <c r="D111" s="125" t="s">
        <v>124</v>
      </c>
      <c r="E111" s="126"/>
      <c r="F111" s="126"/>
      <c r="G111" s="127"/>
      <c r="H111" s="125" t="s">
        <v>283</v>
      </c>
      <c r="I111" s="127"/>
      <c r="J111" s="121" t="s">
        <v>126</v>
      </c>
      <c r="K111" s="121" t="s">
        <v>130</v>
      </c>
    </row>
    <row r="112" spans="1:11" ht="17" hidden="1" outlineLevel="1" thickBot="1">
      <c r="A112" s="122"/>
      <c r="B112" s="124"/>
      <c r="C112" s="122"/>
      <c r="D112" s="125" t="s">
        <v>153</v>
      </c>
      <c r="E112" s="127"/>
      <c r="F112" s="125" t="s">
        <v>154</v>
      </c>
      <c r="G112" s="127"/>
      <c r="H112" s="56" t="s">
        <v>153</v>
      </c>
      <c r="I112" s="56" t="s">
        <v>154</v>
      </c>
      <c r="J112" s="122"/>
      <c r="K112" s="122"/>
    </row>
    <row r="113" spans="1:11" ht="17" hidden="1" outlineLevel="1">
      <c r="A113" s="9" t="s">
        <v>284</v>
      </c>
      <c r="B113" s="11" t="s">
        <v>141</v>
      </c>
      <c r="C113" s="11" t="s">
        <v>147</v>
      </c>
      <c r="D113" s="141" t="str">
        <f>REPT(cash!D33,1)</f>
        <v>156200</v>
      </c>
      <c r="E113" s="142"/>
      <c r="F113" s="141">
        <f>(D113*0.7)/1000</f>
        <v>109.34</v>
      </c>
      <c r="G113" s="142"/>
      <c r="H113" s="8" t="str">
        <f>REPT(cash!F33,1)</f>
        <v>договорная</v>
      </c>
      <c r="I113" s="8" t="str">
        <f>REPT(cash!F33,1)</f>
        <v>договорная</v>
      </c>
      <c r="J113" s="12" t="s">
        <v>131</v>
      </c>
      <c r="K113" s="13" t="s">
        <v>132</v>
      </c>
    </row>
    <row r="114" spans="1:11" ht="34" hidden="1" outlineLevel="1">
      <c r="A114" s="9" t="s">
        <v>284</v>
      </c>
      <c r="B114" s="4" t="s">
        <v>168</v>
      </c>
      <c r="C114" s="8" t="s">
        <v>172</v>
      </c>
      <c r="D114" s="141" t="str">
        <f>REPT(cash!D34,1)</f>
        <v>168000</v>
      </c>
      <c r="E114" s="142"/>
      <c r="F114" s="141">
        <f>(D114*0.6)/1000</f>
        <v>100.8</v>
      </c>
      <c r="G114" s="142"/>
      <c r="H114" s="8" t="str">
        <f>REPT(cash!F34,1)</f>
        <v>договорная</v>
      </c>
      <c r="I114" s="8" t="str">
        <f>REPT(cash!F34,1)</f>
        <v>договорная</v>
      </c>
      <c r="J114" s="12" t="s">
        <v>131</v>
      </c>
      <c r="K114" s="13" t="s">
        <v>132</v>
      </c>
    </row>
    <row r="115" spans="1:11" ht="34" hidden="1" outlineLevel="1">
      <c r="A115" s="9" t="s">
        <v>284</v>
      </c>
      <c r="B115" s="4" t="s">
        <v>169</v>
      </c>
      <c r="C115" s="8" t="s">
        <v>173</v>
      </c>
      <c r="D115" s="141" t="str">
        <f>REPT(cash!D35,1)</f>
        <v>168000</v>
      </c>
      <c r="E115" s="142"/>
      <c r="F115" s="141">
        <f>(D115*0.6)/1000</f>
        <v>100.8</v>
      </c>
      <c r="G115" s="142"/>
      <c r="H115" s="8" t="str">
        <f>REPT(cash!F35,1)</f>
        <v>договорная</v>
      </c>
      <c r="I115" s="8" t="str">
        <f>REPT(cash!F35,1)</f>
        <v>договорная</v>
      </c>
      <c r="J115" s="12" t="s">
        <v>131</v>
      </c>
      <c r="K115" s="13" t="s">
        <v>132</v>
      </c>
    </row>
    <row r="116" spans="1:11" ht="34" hidden="1" outlineLevel="1">
      <c r="A116" s="9" t="s">
        <v>284</v>
      </c>
      <c r="B116" s="22" t="s">
        <v>193</v>
      </c>
      <c r="C116" s="20" t="s">
        <v>207</v>
      </c>
      <c r="D116" s="141" t="str">
        <f>REPT(cash!D34,1)</f>
        <v>168000</v>
      </c>
      <c r="E116" s="142"/>
      <c r="F116" s="141">
        <f t="shared" ref="F116:F117" si="3">(D116*0.6)/1000</f>
        <v>100.8</v>
      </c>
      <c r="G116" s="142"/>
      <c r="H116" s="8" t="str">
        <f>REPT(cash!F34,1)</f>
        <v>договорная</v>
      </c>
      <c r="I116" s="8" t="str">
        <f>REPT(cash!F34,1)</f>
        <v>договорная</v>
      </c>
      <c r="J116" s="12" t="s">
        <v>131</v>
      </c>
      <c r="K116" s="13" t="s">
        <v>132</v>
      </c>
    </row>
    <row r="117" spans="1:11" ht="34" hidden="1" outlineLevel="1">
      <c r="A117" s="9" t="s">
        <v>284</v>
      </c>
      <c r="B117" s="22" t="s">
        <v>194</v>
      </c>
      <c r="C117" s="20" t="s">
        <v>208</v>
      </c>
      <c r="D117" s="141" t="str">
        <f>REPT(cash!D34,1)</f>
        <v>168000</v>
      </c>
      <c r="E117" s="142"/>
      <c r="F117" s="141">
        <f t="shared" si="3"/>
        <v>100.8</v>
      </c>
      <c r="G117" s="142"/>
      <c r="H117" s="8" t="str">
        <f>REPT(cash!F34,1)</f>
        <v>договорная</v>
      </c>
      <c r="I117" s="8" t="str">
        <f>REPT(cash!F34,1)</f>
        <v>договорная</v>
      </c>
      <c r="J117" s="12" t="s">
        <v>131</v>
      </c>
      <c r="K117" s="13" t="s">
        <v>132</v>
      </c>
    </row>
    <row r="118" spans="1:11" ht="34" hidden="1" outlineLevel="1">
      <c r="A118" s="7" t="s">
        <v>286</v>
      </c>
      <c r="B118" s="11" t="s">
        <v>141</v>
      </c>
      <c r="C118" s="11" t="s">
        <v>147</v>
      </c>
      <c r="D118" s="141" t="str">
        <f>REPT(cash!D36,1)</f>
        <v>168000</v>
      </c>
      <c r="E118" s="142"/>
      <c r="F118" s="141">
        <f>(D118*1)/1000</f>
        <v>168</v>
      </c>
      <c r="G118" s="142"/>
      <c r="H118" s="8" t="str">
        <f>REPT(cash!F36,1)</f>
        <v>договорная</v>
      </c>
      <c r="I118" s="8" t="str">
        <f>REPT(cash!F36,1)</f>
        <v>договорная</v>
      </c>
      <c r="J118" s="12" t="s">
        <v>131</v>
      </c>
      <c r="K118" s="13" t="s">
        <v>132</v>
      </c>
    </row>
    <row r="119" spans="1:11" ht="17" hidden="1" outlineLevel="1">
      <c r="A119" s="9" t="s">
        <v>285</v>
      </c>
      <c r="B119" s="11" t="s">
        <v>141</v>
      </c>
      <c r="C119" s="11" t="s">
        <v>147</v>
      </c>
      <c r="D119" s="141" t="str">
        <f>REPT(cash!D37,1)</f>
        <v>168000</v>
      </c>
      <c r="E119" s="142"/>
      <c r="F119" s="141">
        <f>(D119*1.4)/1000</f>
        <v>235.19999999999996</v>
      </c>
      <c r="G119" s="142"/>
      <c r="H119" s="8" t="str">
        <f>REPT(cash!F37,1)</f>
        <v>договорная</v>
      </c>
      <c r="I119" s="8" t="str">
        <f>REPT(cash!F37,1)</f>
        <v>договорная</v>
      </c>
      <c r="J119" s="12" t="s">
        <v>131</v>
      </c>
      <c r="K119" s="13" t="s">
        <v>132</v>
      </c>
    </row>
    <row r="120" spans="1:11" ht="17" hidden="1" outlineLevel="1">
      <c r="A120" s="99" t="s">
        <v>553</v>
      </c>
      <c r="B120" s="100" t="s">
        <v>551</v>
      </c>
      <c r="C120" s="100" t="s">
        <v>552</v>
      </c>
      <c r="D120" s="141" t="str">
        <f>REPT(cash!D38,1)</f>
        <v>480000</v>
      </c>
      <c r="E120" s="159"/>
      <c r="F120" s="159"/>
      <c r="G120" s="142"/>
      <c r="H120" s="20" t="str">
        <f>REPT(cash!F38,1)</f>
        <v>договорная</v>
      </c>
      <c r="I120" s="20" t="str">
        <f>REPT(cash!F38,1)</f>
        <v>договорная</v>
      </c>
      <c r="J120" s="20" t="s">
        <v>131</v>
      </c>
      <c r="K120" s="23" t="s">
        <v>132</v>
      </c>
    </row>
    <row r="121" spans="1:11" ht="17" collapsed="1" thickBot="1">
      <c r="A121" s="115" t="s">
        <v>292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7"/>
    </row>
    <row r="122" spans="1:11" ht="17" thickBot="1">
      <c r="A122" s="143" t="s">
        <v>290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6"/>
    </row>
    <row r="123" spans="1:11" ht="17" hidden="1" outlineLevel="1" thickBot="1">
      <c r="A123" s="121" t="s">
        <v>123</v>
      </c>
      <c r="B123" s="123" t="s">
        <v>122</v>
      </c>
      <c r="C123" s="121" t="s">
        <v>117</v>
      </c>
      <c r="D123" s="125" t="s">
        <v>124</v>
      </c>
      <c r="E123" s="126"/>
      <c r="F123" s="126"/>
      <c r="G123" s="127"/>
      <c r="H123" s="125" t="s">
        <v>283</v>
      </c>
      <c r="I123" s="127"/>
      <c r="J123" s="121" t="s">
        <v>126</v>
      </c>
      <c r="K123" s="121" t="s">
        <v>130</v>
      </c>
    </row>
    <row r="124" spans="1:11" ht="17" hidden="1" outlineLevel="1" thickBot="1">
      <c r="A124" s="122"/>
      <c r="B124" s="124"/>
      <c r="C124" s="122"/>
      <c r="D124" s="125" t="s">
        <v>153</v>
      </c>
      <c r="E124" s="126"/>
      <c r="F124" s="126"/>
      <c r="G124" s="127"/>
      <c r="H124" s="125" t="s">
        <v>153</v>
      </c>
      <c r="I124" s="127"/>
      <c r="J124" s="122"/>
      <c r="K124" s="122"/>
    </row>
    <row r="125" spans="1:11" ht="34" hidden="1" outlineLevel="1">
      <c r="A125" s="7" t="s">
        <v>293</v>
      </c>
      <c r="B125" s="11" t="s">
        <v>137</v>
      </c>
      <c r="C125" s="8" t="s">
        <v>294</v>
      </c>
      <c r="D125" s="114" t="str">
        <f>REPT(cash!D40,1)</f>
        <v>92800</v>
      </c>
      <c r="E125" s="114"/>
      <c r="F125" s="114"/>
      <c r="G125" s="114"/>
      <c r="H125" s="114" t="str">
        <f>REPT(cash!F40,1)</f>
        <v>договорная</v>
      </c>
      <c r="I125" s="114"/>
      <c r="J125" s="12" t="s">
        <v>131</v>
      </c>
      <c r="K125" s="12" t="s">
        <v>132</v>
      </c>
    </row>
    <row r="126" spans="1:11" ht="34" hidden="1" outlineLevel="1">
      <c r="A126" s="7" t="s">
        <v>293</v>
      </c>
      <c r="B126" s="76" t="s">
        <v>296</v>
      </c>
      <c r="C126" s="8" t="s">
        <v>295</v>
      </c>
      <c r="D126" s="114" t="str">
        <f>REPT(cash!D41,1)</f>
        <v>98600</v>
      </c>
      <c r="E126" s="114"/>
      <c r="F126" s="114"/>
      <c r="G126" s="114"/>
      <c r="H126" s="114" t="str">
        <f>REPT(cash!F41,1)</f>
        <v>договорная</v>
      </c>
      <c r="I126" s="114"/>
      <c r="J126" s="12" t="s">
        <v>131</v>
      </c>
      <c r="K126" s="12" t="s">
        <v>132</v>
      </c>
    </row>
    <row r="127" spans="1:11" ht="34" hidden="1" outlineLevel="1">
      <c r="A127" s="7" t="s">
        <v>293</v>
      </c>
      <c r="B127" s="76" t="s">
        <v>297</v>
      </c>
      <c r="C127" s="8" t="s">
        <v>316</v>
      </c>
      <c r="D127" s="113" t="str">
        <f>REPT(cash!D41,1)</f>
        <v>98600</v>
      </c>
      <c r="E127" s="113"/>
      <c r="F127" s="113"/>
      <c r="G127" s="113"/>
      <c r="H127" s="113" t="str">
        <f>REPT(cash!F41,1)</f>
        <v>договорная</v>
      </c>
      <c r="I127" s="113"/>
      <c r="J127" s="12" t="s">
        <v>131</v>
      </c>
      <c r="K127" s="12" t="s">
        <v>132</v>
      </c>
    </row>
    <row r="128" spans="1:11" ht="34" hidden="1" outlineLevel="1">
      <c r="A128" s="7" t="s">
        <v>293</v>
      </c>
      <c r="B128" s="76" t="s">
        <v>298</v>
      </c>
      <c r="C128" s="8" t="s">
        <v>315</v>
      </c>
      <c r="D128" s="113" t="str">
        <f>REPT(cash!D41,1)</f>
        <v>98600</v>
      </c>
      <c r="E128" s="113"/>
      <c r="F128" s="113"/>
      <c r="G128" s="113"/>
      <c r="H128" s="113" t="str">
        <f>REPT(cash!F41,1)</f>
        <v>договорная</v>
      </c>
      <c r="I128" s="113"/>
      <c r="J128" s="12" t="s">
        <v>131</v>
      </c>
      <c r="K128" s="12" t="s">
        <v>132</v>
      </c>
    </row>
    <row r="129" spans="1:11" ht="34" hidden="1" outlineLevel="1">
      <c r="A129" s="7" t="s">
        <v>293</v>
      </c>
      <c r="B129" s="76" t="s">
        <v>299</v>
      </c>
      <c r="C129" s="8" t="s">
        <v>314</v>
      </c>
      <c r="D129" s="113" t="str">
        <f>REPT(cash!D41,1)</f>
        <v>98600</v>
      </c>
      <c r="E129" s="113"/>
      <c r="F129" s="113"/>
      <c r="G129" s="113"/>
      <c r="H129" s="113" t="str">
        <f>REPT(cash!F41,1)</f>
        <v>договорная</v>
      </c>
      <c r="I129" s="113"/>
      <c r="J129" s="12" t="s">
        <v>131</v>
      </c>
      <c r="K129" s="12" t="s">
        <v>132</v>
      </c>
    </row>
    <row r="130" spans="1:11" ht="34" hidden="1" outlineLevel="1">
      <c r="A130" s="7" t="s">
        <v>293</v>
      </c>
      <c r="B130" s="76" t="s">
        <v>300</v>
      </c>
      <c r="C130" s="8" t="s">
        <v>313</v>
      </c>
      <c r="D130" s="113" t="str">
        <f>REPT(cash!D41,1)</f>
        <v>98600</v>
      </c>
      <c r="E130" s="113"/>
      <c r="F130" s="113"/>
      <c r="G130" s="113"/>
      <c r="H130" s="113" t="str">
        <f>REPT(cash!F41,1)</f>
        <v>договорная</v>
      </c>
      <c r="I130" s="113"/>
      <c r="J130" s="12" t="s">
        <v>131</v>
      </c>
      <c r="K130" s="12" t="s">
        <v>132</v>
      </c>
    </row>
    <row r="131" spans="1:11" ht="34" hidden="1" outlineLevel="1">
      <c r="A131" s="7" t="s">
        <v>293</v>
      </c>
      <c r="B131" s="76" t="s">
        <v>301</v>
      </c>
      <c r="C131" s="8" t="s">
        <v>312</v>
      </c>
      <c r="D131" s="113" t="str">
        <f>REPT(cash!D41,1)</f>
        <v>98600</v>
      </c>
      <c r="E131" s="113"/>
      <c r="F131" s="113"/>
      <c r="G131" s="113"/>
      <c r="H131" s="113" t="str">
        <f>REPT(cash!F41,1)</f>
        <v>договорная</v>
      </c>
      <c r="I131" s="113"/>
      <c r="J131" s="12" t="s">
        <v>131</v>
      </c>
      <c r="K131" s="12" t="s">
        <v>132</v>
      </c>
    </row>
    <row r="132" spans="1:11" ht="34" hidden="1" outlineLevel="1">
      <c r="A132" s="7" t="s">
        <v>293</v>
      </c>
      <c r="B132" s="76" t="s">
        <v>302</v>
      </c>
      <c r="C132" s="8" t="s">
        <v>311</v>
      </c>
      <c r="D132" s="113" t="str">
        <f>REPT(cash!D41,1)</f>
        <v>98600</v>
      </c>
      <c r="E132" s="113"/>
      <c r="F132" s="113"/>
      <c r="G132" s="113"/>
      <c r="H132" s="113" t="str">
        <f>REPT(cash!F41,1)</f>
        <v>договорная</v>
      </c>
      <c r="I132" s="113"/>
      <c r="J132" s="12" t="s">
        <v>131</v>
      </c>
      <c r="K132" s="12" t="s">
        <v>132</v>
      </c>
    </row>
    <row r="133" spans="1:11" ht="34" hidden="1" outlineLevel="1">
      <c r="A133" s="7" t="s">
        <v>293</v>
      </c>
      <c r="B133" s="76" t="s">
        <v>303</v>
      </c>
      <c r="C133" s="8" t="s">
        <v>310</v>
      </c>
      <c r="D133" s="113" t="str">
        <f>REPT(cash!D41,1)</f>
        <v>98600</v>
      </c>
      <c r="E133" s="113"/>
      <c r="F133" s="113"/>
      <c r="G133" s="113"/>
      <c r="H133" s="113" t="str">
        <f>REPT(cash!F41,1)</f>
        <v>договорная</v>
      </c>
      <c r="I133" s="113"/>
      <c r="J133" s="12" t="s">
        <v>131</v>
      </c>
      <c r="K133" s="12" t="s">
        <v>132</v>
      </c>
    </row>
    <row r="134" spans="1:11" ht="34" hidden="1" outlineLevel="1">
      <c r="A134" s="7" t="s">
        <v>293</v>
      </c>
      <c r="B134" s="76" t="s">
        <v>304</v>
      </c>
      <c r="C134" s="8" t="s">
        <v>309</v>
      </c>
      <c r="D134" s="113" t="str">
        <f>REPT(cash!D41,1)</f>
        <v>98600</v>
      </c>
      <c r="E134" s="113"/>
      <c r="F134" s="113"/>
      <c r="G134" s="113"/>
      <c r="H134" s="113" t="str">
        <f>REPT(cash!F41,1)</f>
        <v>договорная</v>
      </c>
      <c r="I134" s="113"/>
      <c r="J134" s="12" t="s">
        <v>131</v>
      </c>
      <c r="K134" s="12" t="s">
        <v>132</v>
      </c>
    </row>
    <row r="135" spans="1:11" ht="34" hidden="1" outlineLevel="1">
      <c r="A135" s="7" t="s">
        <v>293</v>
      </c>
      <c r="B135" s="76" t="s">
        <v>305</v>
      </c>
      <c r="C135" s="8" t="s">
        <v>308</v>
      </c>
      <c r="D135" s="113" t="str">
        <f>REPT(cash!D41,1)</f>
        <v>98600</v>
      </c>
      <c r="E135" s="113"/>
      <c r="F135" s="113"/>
      <c r="G135" s="113"/>
      <c r="H135" s="113" t="str">
        <f>REPT(cash!F41,1)</f>
        <v>договорная</v>
      </c>
      <c r="I135" s="113"/>
      <c r="J135" s="12" t="s">
        <v>131</v>
      </c>
      <c r="K135" s="12" t="s">
        <v>132</v>
      </c>
    </row>
    <row r="136" spans="1:11" ht="34" hidden="1" outlineLevel="1">
      <c r="A136" s="7" t="s">
        <v>293</v>
      </c>
      <c r="B136" s="76" t="s">
        <v>306</v>
      </c>
      <c r="C136" s="8" t="s">
        <v>307</v>
      </c>
      <c r="D136" s="113" t="str">
        <f>REPT(cash!D41,1)</f>
        <v>98600</v>
      </c>
      <c r="E136" s="113"/>
      <c r="F136" s="113"/>
      <c r="G136" s="113"/>
      <c r="H136" s="113" t="str">
        <f>REPT(cash!F41,1)</f>
        <v>договорная</v>
      </c>
      <c r="I136" s="113"/>
      <c r="J136" s="12" t="s">
        <v>131</v>
      </c>
      <c r="K136" s="12" t="s">
        <v>132</v>
      </c>
    </row>
    <row r="137" spans="1:11" ht="34" hidden="1" outlineLevel="1">
      <c r="A137" s="7" t="s">
        <v>293</v>
      </c>
      <c r="B137" s="76" t="s">
        <v>317</v>
      </c>
      <c r="C137" s="8" t="s">
        <v>318</v>
      </c>
      <c r="D137" s="113" t="str">
        <f>REPT(cash!D41,1)</f>
        <v>98600</v>
      </c>
      <c r="E137" s="113"/>
      <c r="F137" s="113"/>
      <c r="G137" s="113"/>
      <c r="H137" s="113" t="str">
        <f>REPT(cash!F41,1)</f>
        <v>договорная</v>
      </c>
      <c r="I137" s="113"/>
      <c r="J137" s="12" t="s">
        <v>131</v>
      </c>
      <c r="K137" s="12" t="s">
        <v>132</v>
      </c>
    </row>
    <row r="138" spans="1:11" ht="34" hidden="1" outlineLevel="1">
      <c r="A138" s="7" t="s">
        <v>293</v>
      </c>
      <c r="B138" s="76" t="s">
        <v>320</v>
      </c>
      <c r="C138" s="8" t="s">
        <v>340</v>
      </c>
      <c r="D138" s="113" t="str">
        <f>REPT(cash!D41,1)</f>
        <v>98600</v>
      </c>
      <c r="E138" s="113"/>
      <c r="F138" s="113"/>
      <c r="G138" s="113"/>
      <c r="H138" s="113" t="str">
        <f>REPT(cash!F41,1)</f>
        <v>договорная</v>
      </c>
      <c r="I138" s="113"/>
      <c r="J138" s="12" t="s">
        <v>131</v>
      </c>
      <c r="K138" s="12" t="s">
        <v>132</v>
      </c>
    </row>
    <row r="139" spans="1:11" ht="34" hidden="1" outlineLevel="1">
      <c r="A139" s="7" t="s">
        <v>293</v>
      </c>
      <c r="B139" s="76" t="s">
        <v>321</v>
      </c>
      <c r="C139" s="8" t="s">
        <v>341</v>
      </c>
      <c r="D139" s="113" t="str">
        <f>REPT(cash!D41,1)</f>
        <v>98600</v>
      </c>
      <c r="E139" s="113"/>
      <c r="F139" s="113"/>
      <c r="G139" s="113"/>
      <c r="H139" s="113" t="str">
        <f>REPT(cash!F41,1)</f>
        <v>договорная</v>
      </c>
      <c r="I139" s="113"/>
      <c r="J139" s="12" t="s">
        <v>131</v>
      </c>
      <c r="K139" s="12" t="s">
        <v>132</v>
      </c>
    </row>
    <row r="140" spans="1:11" ht="34" hidden="1" outlineLevel="1">
      <c r="A140" s="7" t="s">
        <v>293</v>
      </c>
      <c r="B140" s="76" t="s">
        <v>322</v>
      </c>
      <c r="C140" s="8" t="s">
        <v>342</v>
      </c>
      <c r="D140" s="113" t="str">
        <f>REPT(cash!D41,1)</f>
        <v>98600</v>
      </c>
      <c r="E140" s="113"/>
      <c r="F140" s="113"/>
      <c r="G140" s="113"/>
      <c r="H140" s="113" t="str">
        <f>REPT(cash!F41,1)</f>
        <v>договорная</v>
      </c>
      <c r="I140" s="113"/>
      <c r="J140" s="12" t="s">
        <v>131</v>
      </c>
      <c r="K140" s="12" t="s">
        <v>132</v>
      </c>
    </row>
    <row r="141" spans="1:11" ht="34" hidden="1" outlineLevel="1">
      <c r="A141" s="7" t="s">
        <v>293</v>
      </c>
      <c r="B141" s="76" t="s">
        <v>323</v>
      </c>
      <c r="C141" s="8" t="s">
        <v>343</v>
      </c>
      <c r="D141" s="113" t="str">
        <f>REPT(cash!D41,1)</f>
        <v>98600</v>
      </c>
      <c r="E141" s="113"/>
      <c r="F141" s="113"/>
      <c r="G141" s="113"/>
      <c r="H141" s="113" t="str">
        <f>REPT(cash!F41,1)</f>
        <v>договорная</v>
      </c>
      <c r="I141" s="113"/>
      <c r="J141" s="12" t="s">
        <v>131</v>
      </c>
      <c r="K141" s="12" t="s">
        <v>132</v>
      </c>
    </row>
    <row r="142" spans="1:11" ht="34" hidden="1" outlineLevel="1">
      <c r="A142" s="7" t="s">
        <v>293</v>
      </c>
      <c r="B142" s="76" t="s">
        <v>324</v>
      </c>
      <c r="C142" s="8" t="s">
        <v>344</v>
      </c>
      <c r="D142" s="113" t="str">
        <f>REPT(cash!D41,1)</f>
        <v>98600</v>
      </c>
      <c r="E142" s="113"/>
      <c r="F142" s="113"/>
      <c r="G142" s="113"/>
      <c r="H142" s="113" t="str">
        <f>REPT(cash!F41,1)</f>
        <v>договорная</v>
      </c>
      <c r="I142" s="113"/>
      <c r="J142" s="12" t="s">
        <v>131</v>
      </c>
      <c r="K142" s="12" t="s">
        <v>132</v>
      </c>
    </row>
    <row r="143" spans="1:11" ht="34" hidden="1" outlineLevel="1">
      <c r="A143" s="7" t="s">
        <v>293</v>
      </c>
      <c r="B143" s="76" t="s">
        <v>325</v>
      </c>
      <c r="C143" s="8" t="s">
        <v>345</v>
      </c>
      <c r="D143" s="113" t="str">
        <f>REPT(cash!D41,1)</f>
        <v>98600</v>
      </c>
      <c r="E143" s="113"/>
      <c r="F143" s="113"/>
      <c r="G143" s="113"/>
      <c r="H143" s="113" t="str">
        <f>REPT(cash!F41,1)</f>
        <v>договорная</v>
      </c>
      <c r="I143" s="113"/>
      <c r="J143" s="12" t="s">
        <v>131</v>
      </c>
      <c r="K143" s="12" t="s">
        <v>132</v>
      </c>
    </row>
    <row r="144" spans="1:11" ht="34" hidden="1" outlineLevel="1">
      <c r="A144" s="7" t="s">
        <v>293</v>
      </c>
      <c r="B144" s="11" t="s">
        <v>319</v>
      </c>
      <c r="C144" s="8" t="s">
        <v>346</v>
      </c>
      <c r="D144" s="113" t="str">
        <f>REPT(cash!D41,1)</f>
        <v>98600</v>
      </c>
      <c r="E144" s="113"/>
      <c r="F144" s="113"/>
      <c r="G144" s="113"/>
      <c r="H144" s="113" t="str">
        <f>REPT(cash!F41,1)</f>
        <v>договорная</v>
      </c>
      <c r="I144" s="113"/>
      <c r="J144" s="12" t="s">
        <v>131</v>
      </c>
      <c r="K144" s="12" t="s">
        <v>132</v>
      </c>
    </row>
    <row r="145" spans="1:11" ht="34" hidden="1" outlineLevel="1">
      <c r="A145" s="7" t="s">
        <v>293</v>
      </c>
      <c r="B145" s="11" t="s">
        <v>326</v>
      </c>
      <c r="C145" s="8" t="s">
        <v>347</v>
      </c>
      <c r="D145" s="113" t="str">
        <f>REPT(cash!D41,1)</f>
        <v>98600</v>
      </c>
      <c r="E145" s="113"/>
      <c r="F145" s="113"/>
      <c r="G145" s="113"/>
      <c r="H145" s="113" t="str">
        <f>REPT(cash!F41,1)</f>
        <v>договорная</v>
      </c>
      <c r="I145" s="113"/>
      <c r="J145" s="12" t="s">
        <v>131</v>
      </c>
      <c r="K145" s="12" t="s">
        <v>132</v>
      </c>
    </row>
    <row r="146" spans="1:11" ht="34" hidden="1" outlineLevel="1">
      <c r="A146" s="7" t="s">
        <v>293</v>
      </c>
      <c r="B146" s="11" t="s">
        <v>327</v>
      </c>
      <c r="C146" s="8" t="s">
        <v>348</v>
      </c>
      <c r="D146" s="113" t="str">
        <f>REPT(cash!D41,1)</f>
        <v>98600</v>
      </c>
      <c r="E146" s="113"/>
      <c r="F146" s="113"/>
      <c r="G146" s="113"/>
      <c r="H146" s="113" t="str">
        <f>REPT(cash!F41,1)</f>
        <v>договорная</v>
      </c>
      <c r="I146" s="113"/>
      <c r="J146" s="12" t="s">
        <v>131</v>
      </c>
      <c r="K146" s="12" t="s">
        <v>132</v>
      </c>
    </row>
    <row r="147" spans="1:11" ht="34" hidden="1" outlineLevel="1">
      <c r="A147" s="7" t="s">
        <v>293</v>
      </c>
      <c r="B147" s="11" t="s">
        <v>328</v>
      </c>
      <c r="C147" s="8" t="s">
        <v>349</v>
      </c>
      <c r="D147" s="113" t="str">
        <f>REPT(cash!D41,1)</f>
        <v>98600</v>
      </c>
      <c r="E147" s="113"/>
      <c r="F147" s="113"/>
      <c r="G147" s="113"/>
      <c r="H147" s="113" t="str">
        <f>REPT(cash!F41,1)</f>
        <v>договорная</v>
      </c>
      <c r="I147" s="113"/>
      <c r="J147" s="12" t="s">
        <v>131</v>
      </c>
      <c r="K147" s="12" t="s">
        <v>132</v>
      </c>
    </row>
    <row r="148" spans="1:11" ht="34" hidden="1" outlineLevel="1">
      <c r="A148" s="7" t="s">
        <v>293</v>
      </c>
      <c r="B148" s="11" t="s">
        <v>329</v>
      </c>
      <c r="C148" s="8" t="s">
        <v>350</v>
      </c>
      <c r="D148" s="113" t="str">
        <f>REPT(cash!D41,1)</f>
        <v>98600</v>
      </c>
      <c r="E148" s="113"/>
      <c r="F148" s="113"/>
      <c r="G148" s="113"/>
      <c r="H148" s="113" t="str">
        <f>REPT(cash!F41,1)</f>
        <v>договорная</v>
      </c>
      <c r="I148" s="113"/>
      <c r="J148" s="12" t="s">
        <v>131</v>
      </c>
      <c r="K148" s="12" t="s">
        <v>132</v>
      </c>
    </row>
    <row r="149" spans="1:11" ht="34" hidden="1" outlineLevel="1">
      <c r="A149" s="7" t="s">
        <v>293</v>
      </c>
      <c r="B149" s="11" t="s">
        <v>330</v>
      </c>
      <c r="C149" s="8" t="s">
        <v>351</v>
      </c>
      <c r="D149" s="113" t="str">
        <f>REPT(cash!D41,1)</f>
        <v>98600</v>
      </c>
      <c r="E149" s="113"/>
      <c r="F149" s="113"/>
      <c r="G149" s="113"/>
      <c r="H149" s="113" t="str">
        <f>REPT(cash!F41,1)</f>
        <v>договорная</v>
      </c>
      <c r="I149" s="113"/>
      <c r="J149" s="12" t="s">
        <v>131</v>
      </c>
      <c r="K149" s="12" t="s">
        <v>132</v>
      </c>
    </row>
    <row r="150" spans="1:11" ht="34" hidden="1" outlineLevel="1">
      <c r="A150" s="7" t="s">
        <v>293</v>
      </c>
      <c r="B150" s="11" t="s">
        <v>331</v>
      </c>
      <c r="C150" s="8" t="s">
        <v>352</v>
      </c>
      <c r="D150" s="113" t="str">
        <f>REPT(cash!D41,1)</f>
        <v>98600</v>
      </c>
      <c r="E150" s="113"/>
      <c r="F150" s="113"/>
      <c r="G150" s="113"/>
      <c r="H150" s="113" t="str">
        <f>REPT(cash!F41,1)</f>
        <v>договорная</v>
      </c>
      <c r="I150" s="113"/>
      <c r="J150" s="12" t="s">
        <v>131</v>
      </c>
      <c r="K150" s="12" t="s">
        <v>132</v>
      </c>
    </row>
    <row r="151" spans="1:11" ht="34" hidden="1" outlineLevel="1">
      <c r="A151" s="7" t="s">
        <v>293</v>
      </c>
      <c r="B151" s="77" t="s">
        <v>339</v>
      </c>
      <c r="C151" s="8" t="s">
        <v>353</v>
      </c>
      <c r="D151" s="113" t="str">
        <f>REPT(cash!D41,1)</f>
        <v>98600</v>
      </c>
      <c r="E151" s="113"/>
      <c r="F151" s="113"/>
      <c r="G151" s="113"/>
      <c r="H151" s="113" t="str">
        <f>REPT(cash!F41,1)</f>
        <v>договорная</v>
      </c>
      <c r="I151" s="113"/>
      <c r="J151" s="12" t="s">
        <v>131</v>
      </c>
      <c r="K151" s="12" t="s">
        <v>132</v>
      </c>
    </row>
    <row r="152" spans="1:11" ht="34" hidden="1" outlineLevel="1">
      <c r="A152" s="7" t="s">
        <v>293</v>
      </c>
      <c r="B152" s="77" t="s">
        <v>333</v>
      </c>
      <c r="C152" s="8" t="s">
        <v>354</v>
      </c>
      <c r="D152" s="113" t="str">
        <f>REPT(cash!D41,1)</f>
        <v>98600</v>
      </c>
      <c r="E152" s="113"/>
      <c r="F152" s="113"/>
      <c r="G152" s="113"/>
      <c r="H152" s="113" t="str">
        <f>REPT(cash!F41,1)</f>
        <v>договорная</v>
      </c>
      <c r="I152" s="113"/>
      <c r="J152" s="12" t="s">
        <v>131</v>
      </c>
      <c r="K152" s="12" t="s">
        <v>132</v>
      </c>
    </row>
    <row r="153" spans="1:11" ht="34" hidden="1" outlineLevel="1">
      <c r="A153" s="7" t="s">
        <v>293</v>
      </c>
      <c r="B153" s="77" t="s">
        <v>334</v>
      </c>
      <c r="C153" s="8" t="s">
        <v>355</v>
      </c>
      <c r="D153" s="113" t="str">
        <f>REPT(cash!D41,1)</f>
        <v>98600</v>
      </c>
      <c r="E153" s="113"/>
      <c r="F153" s="113"/>
      <c r="G153" s="113"/>
      <c r="H153" s="113" t="str">
        <f>REPT(cash!F41,1)</f>
        <v>договорная</v>
      </c>
      <c r="I153" s="113"/>
      <c r="J153" s="12" t="s">
        <v>131</v>
      </c>
      <c r="K153" s="12" t="s">
        <v>132</v>
      </c>
    </row>
    <row r="154" spans="1:11" ht="34" hidden="1" outlineLevel="1">
      <c r="A154" s="7" t="s">
        <v>293</v>
      </c>
      <c r="B154" s="77" t="s">
        <v>335</v>
      </c>
      <c r="C154" s="8" t="s">
        <v>356</v>
      </c>
      <c r="D154" s="113" t="str">
        <f>REPT(cash!D41,1)</f>
        <v>98600</v>
      </c>
      <c r="E154" s="113"/>
      <c r="F154" s="113"/>
      <c r="G154" s="113"/>
      <c r="H154" s="113" t="str">
        <f>REPT(cash!F41,1)</f>
        <v>договорная</v>
      </c>
      <c r="I154" s="113"/>
      <c r="J154" s="12" t="s">
        <v>131</v>
      </c>
      <c r="K154" s="12" t="s">
        <v>132</v>
      </c>
    </row>
    <row r="155" spans="1:11" ht="34" hidden="1" outlineLevel="1">
      <c r="A155" s="7" t="s">
        <v>293</v>
      </c>
      <c r="B155" s="77" t="s">
        <v>336</v>
      </c>
      <c r="C155" s="8" t="s">
        <v>357</v>
      </c>
      <c r="D155" s="113" t="str">
        <f>REPT(cash!D41,1)</f>
        <v>98600</v>
      </c>
      <c r="E155" s="113"/>
      <c r="F155" s="113"/>
      <c r="G155" s="113"/>
      <c r="H155" s="113" t="str">
        <f>REPT(cash!F41,1)</f>
        <v>договорная</v>
      </c>
      <c r="I155" s="113"/>
      <c r="J155" s="12" t="s">
        <v>131</v>
      </c>
      <c r="K155" s="12" t="s">
        <v>132</v>
      </c>
    </row>
    <row r="156" spans="1:11" ht="34" hidden="1" outlineLevel="1">
      <c r="A156" s="7" t="s">
        <v>293</v>
      </c>
      <c r="B156" s="77" t="s">
        <v>337</v>
      </c>
      <c r="C156" s="8" t="s">
        <v>358</v>
      </c>
      <c r="D156" s="113" t="str">
        <f>REPT(cash!D41,1)</f>
        <v>98600</v>
      </c>
      <c r="E156" s="113"/>
      <c r="F156" s="113"/>
      <c r="G156" s="113"/>
      <c r="H156" s="113" t="str">
        <f>REPT(cash!F41,1)</f>
        <v>договорная</v>
      </c>
      <c r="I156" s="113"/>
      <c r="J156" s="12" t="s">
        <v>131</v>
      </c>
      <c r="K156" s="12" t="s">
        <v>132</v>
      </c>
    </row>
    <row r="157" spans="1:11" ht="34" hidden="1" outlineLevel="1">
      <c r="A157" s="7" t="s">
        <v>293</v>
      </c>
      <c r="B157" s="77" t="s">
        <v>338</v>
      </c>
      <c r="C157" s="8" t="s">
        <v>359</v>
      </c>
      <c r="D157" s="113" t="str">
        <f>REPT(cash!D41,1)</f>
        <v>98600</v>
      </c>
      <c r="E157" s="113"/>
      <c r="F157" s="113"/>
      <c r="G157" s="113"/>
      <c r="H157" s="113" t="str">
        <f>REPT(cash!F41,1)</f>
        <v>договорная</v>
      </c>
      <c r="I157" s="113"/>
      <c r="J157" s="12" t="s">
        <v>131</v>
      </c>
      <c r="K157" s="12" t="s">
        <v>132</v>
      </c>
    </row>
    <row r="158" spans="1:11" ht="34" hidden="1" outlineLevel="1">
      <c r="A158" s="7" t="s">
        <v>293</v>
      </c>
      <c r="B158" s="77" t="s">
        <v>332</v>
      </c>
      <c r="C158" s="8" t="s">
        <v>360</v>
      </c>
      <c r="D158" s="113" t="str">
        <f>REPT(cash!D41,1)</f>
        <v>98600</v>
      </c>
      <c r="E158" s="113"/>
      <c r="F158" s="113"/>
      <c r="G158" s="113"/>
      <c r="H158" s="113" t="str">
        <f>REPT(cash!F41,1)</f>
        <v>договорная</v>
      </c>
      <c r="I158" s="113"/>
      <c r="J158" s="12" t="s">
        <v>131</v>
      </c>
      <c r="K158" s="12" t="s">
        <v>132</v>
      </c>
    </row>
    <row r="159" spans="1:11" ht="17" hidden="1" outlineLevel="1">
      <c r="A159" s="9" t="s">
        <v>361</v>
      </c>
      <c r="B159" s="4" t="s">
        <v>137</v>
      </c>
      <c r="C159" s="8" t="s">
        <v>365</v>
      </c>
      <c r="D159" s="110" t="str">
        <f>REPT(cash!D42,1)</f>
        <v>102800</v>
      </c>
      <c r="E159" s="111"/>
      <c r="F159" s="111"/>
      <c r="G159" s="112"/>
      <c r="H159" s="110" t="str">
        <f>REPT(cash!F42,1)</f>
        <v>договорная</v>
      </c>
      <c r="I159" s="112"/>
      <c r="J159" s="12" t="s">
        <v>131</v>
      </c>
      <c r="K159" s="12" t="s">
        <v>132</v>
      </c>
    </row>
    <row r="160" spans="1:11" ht="34" hidden="1" outlineLevel="1">
      <c r="A160" s="9" t="s">
        <v>361</v>
      </c>
      <c r="B160" s="4" t="s">
        <v>363</v>
      </c>
      <c r="C160" s="8" t="s">
        <v>367</v>
      </c>
      <c r="D160" s="110" t="str">
        <f>REPT(cash!D43,1)</f>
        <v>104600</v>
      </c>
      <c r="E160" s="111"/>
      <c r="F160" s="111"/>
      <c r="G160" s="112"/>
      <c r="H160" s="110" t="str">
        <f>REPT(cash!F43,1)</f>
        <v>договорная</v>
      </c>
      <c r="I160" s="112"/>
      <c r="J160" s="12" t="s">
        <v>131</v>
      </c>
      <c r="K160" s="12" t="s">
        <v>132</v>
      </c>
    </row>
    <row r="161" spans="1:11" ht="34" hidden="1" outlineLevel="1">
      <c r="A161" s="9" t="s">
        <v>361</v>
      </c>
      <c r="B161" s="4" t="s">
        <v>364</v>
      </c>
      <c r="C161" s="8" t="s">
        <v>368</v>
      </c>
      <c r="D161" s="110" t="str">
        <f>REPT(cash!D43,1)</f>
        <v>104600</v>
      </c>
      <c r="E161" s="111"/>
      <c r="F161" s="111"/>
      <c r="G161" s="112"/>
      <c r="H161" s="110" t="str">
        <f>REPT(cash!F43,1)</f>
        <v>договорная</v>
      </c>
      <c r="I161" s="112"/>
      <c r="J161" s="12" t="s">
        <v>131</v>
      </c>
      <c r="K161" s="12" t="s">
        <v>132</v>
      </c>
    </row>
    <row r="162" spans="1:11" ht="17" hidden="1" outlineLevel="1">
      <c r="A162" s="9" t="s">
        <v>362</v>
      </c>
      <c r="B162" s="4" t="s">
        <v>137</v>
      </c>
      <c r="C162" s="8" t="s">
        <v>366</v>
      </c>
      <c r="D162" s="110" t="str">
        <f>REPT(cash!D44,1)</f>
        <v>108200</v>
      </c>
      <c r="E162" s="111"/>
      <c r="F162" s="111"/>
      <c r="G162" s="112"/>
      <c r="H162" s="110" t="str">
        <f>REPT(cash!F44,1)</f>
        <v>договорная</v>
      </c>
      <c r="I162" s="112"/>
      <c r="J162" s="12" t="s">
        <v>131</v>
      </c>
      <c r="K162" s="12" t="s">
        <v>132</v>
      </c>
    </row>
    <row r="163" spans="1:11" ht="17" hidden="1" outlineLevel="1">
      <c r="A163" s="9" t="s">
        <v>369</v>
      </c>
      <c r="B163" s="4" t="s">
        <v>137</v>
      </c>
      <c r="C163" s="8" t="s">
        <v>370</v>
      </c>
      <c r="D163" s="110" t="str">
        <f>REPT(cash!D45,1)</f>
        <v>86800</v>
      </c>
      <c r="E163" s="111"/>
      <c r="F163" s="111"/>
      <c r="G163" s="112"/>
      <c r="H163" s="110" t="str">
        <f>REPT(cash!F45,1)</f>
        <v>договорная</v>
      </c>
      <c r="I163" s="112"/>
      <c r="J163" s="12" t="s">
        <v>131</v>
      </c>
      <c r="K163" s="12" t="s">
        <v>132</v>
      </c>
    </row>
    <row r="164" spans="1:11" ht="34" hidden="1" outlineLevel="1">
      <c r="A164" s="9" t="s">
        <v>369</v>
      </c>
      <c r="B164" s="4" t="s">
        <v>372</v>
      </c>
      <c r="C164" s="8" t="s">
        <v>373</v>
      </c>
      <c r="D164" s="110" t="str">
        <f>REPT(cash!D46,1)</f>
        <v>92600</v>
      </c>
      <c r="E164" s="111"/>
      <c r="F164" s="111"/>
      <c r="G164" s="112"/>
      <c r="H164" s="110" t="str">
        <f>REPT(cash!F46,1)</f>
        <v>договорная</v>
      </c>
      <c r="I164" s="112"/>
      <c r="J164" s="12" t="s">
        <v>131</v>
      </c>
      <c r="K164" s="12" t="s">
        <v>132</v>
      </c>
    </row>
    <row r="165" spans="1:11" ht="34" hidden="1" outlineLevel="1">
      <c r="A165" s="9" t="s">
        <v>369</v>
      </c>
      <c r="B165" s="4" t="s">
        <v>371</v>
      </c>
      <c r="C165" s="8" t="s">
        <v>374</v>
      </c>
      <c r="D165" s="110" t="str">
        <f>REPT(cash!D46,1)</f>
        <v>92600</v>
      </c>
      <c r="E165" s="111"/>
      <c r="F165" s="111"/>
      <c r="G165" s="112"/>
      <c r="H165" s="110" t="str">
        <f>REPT(cash!F46,1)</f>
        <v>договорная</v>
      </c>
      <c r="I165" s="112"/>
      <c r="J165" s="12" t="s">
        <v>131</v>
      </c>
      <c r="K165" s="12" t="s">
        <v>132</v>
      </c>
    </row>
    <row r="166" spans="1:11" ht="17" collapsed="1" thickBot="1">
      <c r="A166" s="115" t="s">
        <v>292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7"/>
    </row>
    <row r="167" spans="1:11" ht="17" thickBot="1">
      <c r="A167" s="143" t="s">
        <v>375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6"/>
    </row>
    <row r="168" spans="1:11" ht="17" hidden="1" customHeight="1" outlineLevel="1" thickBot="1">
      <c r="A168" s="121" t="s">
        <v>123</v>
      </c>
      <c r="B168" s="123" t="s">
        <v>122</v>
      </c>
      <c r="C168" s="121" t="s">
        <v>117</v>
      </c>
      <c r="D168" s="125" t="s">
        <v>124</v>
      </c>
      <c r="E168" s="126"/>
      <c r="F168" s="126"/>
      <c r="G168" s="127"/>
      <c r="H168" s="125" t="s">
        <v>283</v>
      </c>
      <c r="I168" s="127"/>
      <c r="J168" s="121" t="s">
        <v>126</v>
      </c>
      <c r="K168" s="121" t="s">
        <v>130</v>
      </c>
    </row>
    <row r="169" spans="1:11" ht="17" hidden="1" outlineLevel="1" thickBot="1">
      <c r="A169" s="122"/>
      <c r="B169" s="124"/>
      <c r="C169" s="122"/>
      <c r="D169" s="125" t="s">
        <v>153</v>
      </c>
      <c r="E169" s="126"/>
      <c r="F169" s="126"/>
      <c r="G169" s="127"/>
      <c r="H169" s="125" t="s">
        <v>153</v>
      </c>
      <c r="I169" s="127"/>
      <c r="J169" s="122"/>
      <c r="K169" s="122"/>
    </row>
    <row r="170" spans="1:11" ht="34" hidden="1" outlineLevel="1">
      <c r="A170" s="7" t="s">
        <v>377</v>
      </c>
      <c r="B170" s="11" t="s">
        <v>141</v>
      </c>
      <c r="C170" s="11" t="s">
        <v>147</v>
      </c>
      <c r="D170" s="110" t="str">
        <f>REPT(cash!D48,1)</f>
        <v>103600</v>
      </c>
      <c r="E170" s="111"/>
      <c r="F170" s="111"/>
      <c r="G170" s="112"/>
      <c r="H170" s="110" t="str">
        <f>REPT(cash!F48,1)</f>
        <v>договорная</v>
      </c>
      <c r="I170" s="112"/>
      <c r="J170" s="12" t="s">
        <v>131</v>
      </c>
      <c r="K170" s="12" t="s">
        <v>132</v>
      </c>
    </row>
    <row r="171" spans="1:11" ht="34" hidden="1" outlineLevel="1">
      <c r="A171" s="7" t="s">
        <v>377</v>
      </c>
      <c r="B171" s="6" t="s">
        <v>144</v>
      </c>
      <c r="C171" s="11" t="s">
        <v>150</v>
      </c>
      <c r="D171" s="110" t="str">
        <f>REPT(cash!D48,1)</f>
        <v>103600</v>
      </c>
      <c r="E171" s="111"/>
      <c r="F171" s="111"/>
      <c r="G171" s="112"/>
      <c r="H171" s="110" t="str">
        <f>REPT(cash!F48,1)</f>
        <v>договорная</v>
      </c>
      <c r="I171" s="112"/>
      <c r="J171" s="12" t="s">
        <v>131</v>
      </c>
      <c r="K171" s="12" t="s">
        <v>132</v>
      </c>
    </row>
    <row r="172" spans="1:11" ht="17" hidden="1" outlineLevel="1">
      <c r="A172" s="9" t="s">
        <v>378</v>
      </c>
      <c r="B172" s="11" t="s">
        <v>141</v>
      </c>
      <c r="C172" s="11" t="s">
        <v>147</v>
      </c>
      <c r="D172" s="110" t="str">
        <f>REPT(cash!D49,1)</f>
        <v>103600</v>
      </c>
      <c r="E172" s="111"/>
      <c r="F172" s="111"/>
      <c r="G172" s="112"/>
      <c r="H172" s="110" t="str">
        <f>REPT(cash!F49,1)</f>
        <v>договорная</v>
      </c>
      <c r="I172" s="112"/>
      <c r="J172" s="12" t="s">
        <v>131</v>
      </c>
      <c r="K172" s="12" t="s">
        <v>132</v>
      </c>
    </row>
    <row r="173" spans="1:11" ht="17" hidden="1" outlineLevel="1">
      <c r="A173" s="9" t="s">
        <v>378</v>
      </c>
      <c r="B173" s="6" t="s">
        <v>144</v>
      </c>
      <c r="C173" s="11" t="s">
        <v>150</v>
      </c>
      <c r="D173" s="110" t="str">
        <f>REPT(cash!D49,1)</f>
        <v>103600</v>
      </c>
      <c r="E173" s="111"/>
      <c r="F173" s="111"/>
      <c r="G173" s="112"/>
      <c r="H173" s="110" t="str">
        <f>REPT(cash!F49,1)</f>
        <v>договорная</v>
      </c>
      <c r="I173" s="112"/>
      <c r="J173" s="12" t="s">
        <v>131</v>
      </c>
      <c r="K173" s="12" t="s">
        <v>132</v>
      </c>
    </row>
    <row r="174" spans="1:11" s="104" customFormat="1" ht="17" hidden="1" outlineLevel="1">
      <c r="A174" s="101" t="s">
        <v>554</v>
      </c>
      <c r="B174" s="102" t="s">
        <v>556</v>
      </c>
      <c r="C174" s="102" t="s">
        <v>557</v>
      </c>
      <c r="D174" s="155" t="str">
        <f>REPT(cash!D50,1)</f>
        <v>260000</v>
      </c>
      <c r="E174" s="157"/>
      <c r="F174" s="157"/>
      <c r="G174" s="156"/>
      <c r="H174" s="155" t="str">
        <f>REPT(cash!F50,1)</f>
        <v>договорная</v>
      </c>
      <c r="I174" s="156"/>
      <c r="J174" s="103" t="s">
        <v>131</v>
      </c>
      <c r="K174" s="12" t="s">
        <v>132</v>
      </c>
    </row>
    <row r="175" spans="1:11" s="104" customFormat="1" ht="17" hidden="1" outlineLevel="1">
      <c r="A175" s="101" t="s">
        <v>554</v>
      </c>
      <c r="B175" s="105" t="s">
        <v>558</v>
      </c>
      <c r="C175" s="102" t="s">
        <v>559</v>
      </c>
      <c r="D175" s="155" t="str">
        <f>REPT(cash!D50,1)</f>
        <v>260000</v>
      </c>
      <c r="E175" s="157"/>
      <c r="F175" s="157"/>
      <c r="G175" s="156"/>
      <c r="H175" s="155" t="str">
        <f>REPT(cash!F50,1)</f>
        <v>договорная</v>
      </c>
      <c r="I175" s="156"/>
      <c r="J175" s="103" t="s">
        <v>131</v>
      </c>
      <c r="K175" s="12" t="s">
        <v>132</v>
      </c>
    </row>
    <row r="176" spans="1:11" s="104" customFormat="1" ht="17" hidden="1" outlineLevel="1">
      <c r="A176" s="101" t="s">
        <v>555</v>
      </c>
      <c r="B176" s="102" t="s">
        <v>556</v>
      </c>
      <c r="C176" s="102" t="s">
        <v>557</v>
      </c>
      <c r="D176" s="155" t="str">
        <f>REPT(cash!D50,1)</f>
        <v>260000</v>
      </c>
      <c r="E176" s="157"/>
      <c r="F176" s="157"/>
      <c r="G176" s="156"/>
      <c r="H176" s="155" t="str">
        <f>REPT(cash!F50,1)</f>
        <v>договорная</v>
      </c>
      <c r="I176" s="156"/>
      <c r="J176" s="103" t="s">
        <v>131</v>
      </c>
      <c r="K176" s="12" t="s">
        <v>132</v>
      </c>
    </row>
    <row r="177" spans="1:11" s="104" customFormat="1" ht="17" hidden="1" outlineLevel="1">
      <c r="A177" s="101" t="s">
        <v>555</v>
      </c>
      <c r="B177" s="105" t="s">
        <v>558</v>
      </c>
      <c r="C177" s="102" t="s">
        <v>559</v>
      </c>
      <c r="D177" s="155" t="str">
        <f>REPT(cash!D50,1)</f>
        <v>260000</v>
      </c>
      <c r="E177" s="157"/>
      <c r="F177" s="157"/>
      <c r="G177" s="156"/>
      <c r="H177" s="155" t="str">
        <f>REPT(cash!F50,1)</f>
        <v>договорная</v>
      </c>
      <c r="I177" s="156"/>
      <c r="J177" s="103" t="s">
        <v>131</v>
      </c>
      <c r="K177" s="12" t="s">
        <v>132</v>
      </c>
    </row>
    <row r="178" spans="1:11" ht="17" collapsed="1" thickBot="1">
      <c r="A178" s="115" t="s">
        <v>292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7"/>
    </row>
    <row r="179" spans="1:11" ht="17" thickBot="1">
      <c r="A179" s="143" t="s">
        <v>415</v>
      </c>
      <c r="B179" s="135"/>
      <c r="C179" s="135"/>
      <c r="D179" s="135"/>
      <c r="E179" s="135"/>
      <c r="F179" s="135"/>
      <c r="G179" s="135"/>
      <c r="H179" s="135"/>
      <c r="I179" s="135"/>
      <c r="J179" s="135"/>
      <c r="K179" s="136"/>
    </row>
    <row r="180" spans="1:11" hidden="1" outlineLevel="1">
      <c r="A180" s="121" t="s">
        <v>123</v>
      </c>
      <c r="B180" s="123" t="s">
        <v>122</v>
      </c>
      <c r="C180" s="121" t="s">
        <v>117</v>
      </c>
      <c r="D180" s="128" t="s">
        <v>124</v>
      </c>
      <c r="E180" s="137"/>
      <c r="F180" s="137"/>
      <c r="G180" s="129"/>
      <c r="H180" s="128" t="s">
        <v>283</v>
      </c>
      <c r="I180" s="129"/>
      <c r="J180" s="121" t="s">
        <v>126</v>
      </c>
      <c r="K180" s="121" t="s">
        <v>130</v>
      </c>
    </row>
    <row r="181" spans="1:11" ht="17" hidden="1" outlineLevel="1" thickBot="1">
      <c r="A181" s="122"/>
      <c r="B181" s="124"/>
      <c r="C181" s="122"/>
      <c r="D181" s="130"/>
      <c r="E181" s="158"/>
      <c r="F181" s="158"/>
      <c r="G181" s="131"/>
      <c r="H181" s="130"/>
      <c r="I181" s="131"/>
      <c r="J181" s="122"/>
      <c r="K181" s="122"/>
    </row>
    <row r="182" spans="1:11" ht="17" hidden="1" outlineLevel="1">
      <c r="A182" s="9" t="s">
        <v>379</v>
      </c>
      <c r="B182" s="79" t="s">
        <v>380</v>
      </c>
      <c r="C182" s="8" t="s">
        <v>471</v>
      </c>
      <c r="D182" s="114" t="str">
        <f>REPT(cash!D52,1)</f>
        <v>910</v>
      </c>
      <c r="E182" s="114"/>
      <c r="F182" s="114"/>
      <c r="G182" s="114"/>
      <c r="H182" s="114" t="str">
        <f>REPT(cash!F52,1)</f>
        <v>980</v>
      </c>
      <c r="I182" s="114"/>
      <c r="J182" s="12" t="s">
        <v>131</v>
      </c>
      <c r="K182" s="8" t="s">
        <v>132</v>
      </c>
    </row>
    <row r="183" spans="1:11" ht="17" hidden="1" outlineLevel="1">
      <c r="A183" s="9" t="s">
        <v>379</v>
      </c>
      <c r="B183" s="79" t="s">
        <v>380</v>
      </c>
      <c r="C183" s="69" t="s">
        <v>470</v>
      </c>
      <c r="D183" s="113" t="str">
        <f>REPT(cash!D53,1)</f>
        <v>18200</v>
      </c>
      <c r="E183" s="113"/>
      <c r="F183" s="113"/>
      <c r="G183" s="113"/>
      <c r="H183" s="113" t="str">
        <f>REPT(cash!F53,1)</f>
        <v>договорная</v>
      </c>
      <c r="I183" s="113"/>
      <c r="J183" s="12" t="s">
        <v>131</v>
      </c>
      <c r="K183" s="8" t="s">
        <v>132</v>
      </c>
    </row>
    <row r="184" spans="1:11" ht="17" hidden="1" outlineLevel="1">
      <c r="A184" s="9" t="s">
        <v>382</v>
      </c>
      <c r="B184" s="79" t="s">
        <v>381</v>
      </c>
      <c r="C184" s="69" t="s">
        <v>471</v>
      </c>
      <c r="D184" s="113" t="str">
        <f>REPT(cash!D54,1)</f>
        <v>910</v>
      </c>
      <c r="E184" s="113"/>
      <c r="F184" s="113"/>
      <c r="G184" s="113"/>
      <c r="H184" s="113" t="str">
        <f>REPT(cash!F54,1)</f>
        <v>980</v>
      </c>
      <c r="I184" s="113"/>
      <c r="J184" s="12" t="s">
        <v>131</v>
      </c>
      <c r="K184" s="8" t="s">
        <v>132</v>
      </c>
    </row>
    <row r="185" spans="1:11" ht="17" hidden="1" outlineLevel="1">
      <c r="A185" s="9" t="s">
        <v>382</v>
      </c>
      <c r="B185" s="79" t="s">
        <v>381</v>
      </c>
      <c r="C185" s="69" t="s">
        <v>470</v>
      </c>
      <c r="D185" s="113" t="str">
        <f>REPT(cash!D55,1)</f>
        <v>18200</v>
      </c>
      <c r="E185" s="113"/>
      <c r="F185" s="113"/>
      <c r="G185" s="113"/>
      <c r="H185" s="113" t="str">
        <f>REPT(cash!F55,1)</f>
        <v>договорная</v>
      </c>
      <c r="I185" s="113"/>
      <c r="J185" s="12" t="s">
        <v>131</v>
      </c>
      <c r="K185" s="8" t="s">
        <v>132</v>
      </c>
    </row>
    <row r="186" spans="1:11" ht="17" hidden="1" outlineLevel="1">
      <c r="A186" s="9" t="s">
        <v>386</v>
      </c>
      <c r="B186" s="79" t="s">
        <v>383</v>
      </c>
      <c r="C186" s="69" t="s">
        <v>471</v>
      </c>
      <c r="D186" s="113" t="str">
        <f>REPT(cash!D56,1)</f>
        <v>910</v>
      </c>
      <c r="E186" s="113"/>
      <c r="F186" s="113"/>
      <c r="G186" s="113"/>
      <c r="H186" s="113" t="str">
        <f>REPT(cash!F56,1)</f>
        <v>980</v>
      </c>
      <c r="I186" s="113"/>
      <c r="J186" s="12" t="s">
        <v>131</v>
      </c>
      <c r="K186" s="8" t="s">
        <v>132</v>
      </c>
    </row>
    <row r="187" spans="1:11" ht="17" hidden="1" outlineLevel="1">
      <c r="A187" s="9" t="s">
        <v>386</v>
      </c>
      <c r="B187" s="79" t="s">
        <v>383</v>
      </c>
      <c r="C187" s="69" t="s">
        <v>470</v>
      </c>
      <c r="D187" s="113" t="str">
        <f>REPT(cash!D57,1)</f>
        <v>18200</v>
      </c>
      <c r="E187" s="113"/>
      <c r="F187" s="113"/>
      <c r="G187" s="113"/>
      <c r="H187" s="113" t="str">
        <f>REPT(cash!F57,1)</f>
        <v>договорная</v>
      </c>
      <c r="I187" s="113"/>
      <c r="J187" s="12" t="s">
        <v>131</v>
      </c>
      <c r="K187" s="8" t="s">
        <v>132</v>
      </c>
    </row>
    <row r="188" spans="1:11" ht="17" hidden="1" outlineLevel="1">
      <c r="A188" s="9" t="s">
        <v>386</v>
      </c>
      <c r="B188" s="79" t="s">
        <v>384</v>
      </c>
      <c r="C188" s="69" t="s">
        <v>471</v>
      </c>
      <c r="D188" s="113" t="str">
        <f>REPT(cash!D58,1)</f>
        <v>970</v>
      </c>
      <c r="E188" s="113"/>
      <c r="F188" s="113"/>
      <c r="G188" s="113"/>
      <c r="H188" s="113" t="str">
        <f>REPT(cash!F58,1)</f>
        <v>1100</v>
      </c>
      <c r="I188" s="113"/>
      <c r="J188" s="12" t="s">
        <v>131</v>
      </c>
      <c r="K188" s="8" t="s">
        <v>132</v>
      </c>
    </row>
    <row r="189" spans="1:11" ht="17" hidden="1" outlineLevel="1">
      <c r="A189" s="9" t="s">
        <v>386</v>
      </c>
      <c r="B189" s="79" t="s">
        <v>384</v>
      </c>
      <c r="C189" s="69" t="s">
        <v>470</v>
      </c>
      <c r="D189" s="113" t="str">
        <f>REPT(cash!D59,1)</f>
        <v>19400</v>
      </c>
      <c r="E189" s="113"/>
      <c r="F189" s="113"/>
      <c r="G189" s="113"/>
      <c r="H189" s="113" t="str">
        <f>REPT(cash!F59,1)</f>
        <v>договорная</v>
      </c>
      <c r="I189" s="113"/>
      <c r="J189" s="12" t="s">
        <v>131</v>
      </c>
      <c r="K189" s="8" t="s">
        <v>132</v>
      </c>
    </row>
    <row r="190" spans="1:11" ht="17" hidden="1" outlineLevel="1">
      <c r="A190" s="9" t="s">
        <v>386</v>
      </c>
      <c r="B190" s="79" t="s">
        <v>385</v>
      </c>
      <c r="C190" s="69" t="s">
        <v>471</v>
      </c>
      <c r="D190" s="113" t="str">
        <f>REPT(cash!D60,1)</f>
        <v>1040</v>
      </c>
      <c r="E190" s="113"/>
      <c r="F190" s="113"/>
      <c r="G190" s="113"/>
      <c r="H190" s="113" t="str">
        <f>REPT(cash!F60,1)</f>
        <v>1200</v>
      </c>
      <c r="I190" s="113"/>
      <c r="J190" s="12" t="s">
        <v>131</v>
      </c>
      <c r="K190" s="8" t="s">
        <v>132</v>
      </c>
    </row>
    <row r="191" spans="1:11" ht="17" hidden="1" outlineLevel="1">
      <c r="A191" s="9" t="s">
        <v>386</v>
      </c>
      <c r="B191" s="79" t="s">
        <v>385</v>
      </c>
      <c r="C191" s="69" t="s">
        <v>470</v>
      </c>
      <c r="D191" s="113" t="str">
        <f>REPT(cash!D61,1)</f>
        <v>20800</v>
      </c>
      <c r="E191" s="113"/>
      <c r="F191" s="113"/>
      <c r="G191" s="113"/>
      <c r="H191" s="113" t="str">
        <f>REPT(cash!F61,1)</f>
        <v>договорная</v>
      </c>
      <c r="I191" s="113"/>
      <c r="J191" s="12" t="s">
        <v>131</v>
      </c>
      <c r="K191" s="8" t="s">
        <v>132</v>
      </c>
    </row>
    <row r="192" spans="1:11" ht="17" hidden="1" outlineLevel="1">
      <c r="A192" s="9" t="s">
        <v>387</v>
      </c>
      <c r="B192" s="79" t="s">
        <v>414</v>
      </c>
      <c r="C192" s="69" t="s">
        <v>470</v>
      </c>
      <c r="D192" s="113" t="str">
        <f>REPT(cash!D62,1)</f>
        <v>32800</v>
      </c>
      <c r="E192" s="113"/>
      <c r="F192" s="113"/>
      <c r="G192" s="113"/>
      <c r="H192" s="113" t="str">
        <f>REPT(cash!F62,1)</f>
        <v>договорная</v>
      </c>
      <c r="I192" s="113"/>
      <c r="J192" s="12" t="s">
        <v>131</v>
      </c>
      <c r="K192" s="8" t="s">
        <v>132</v>
      </c>
    </row>
    <row r="193" spans="1:11" ht="17" collapsed="1" thickBot="1">
      <c r="A193" s="115" t="s">
        <v>292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7"/>
    </row>
    <row r="194" spans="1:11" ht="17" thickBot="1">
      <c r="A194" s="143" t="s">
        <v>416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6"/>
    </row>
    <row r="195" spans="1:11" ht="16" hidden="1" customHeight="1" outlineLevel="1" thickBot="1">
      <c r="A195" s="121" t="s">
        <v>123</v>
      </c>
      <c r="B195" s="123" t="s">
        <v>122</v>
      </c>
      <c r="C195" s="121" t="s">
        <v>117</v>
      </c>
      <c r="D195" s="125" t="s">
        <v>124</v>
      </c>
      <c r="E195" s="126"/>
      <c r="F195" s="126"/>
      <c r="G195" s="127"/>
      <c r="H195" s="128" t="s">
        <v>283</v>
      </c>
      <c r="I195" s="129"/>
      <c r="J195" s="121" t="s">
        <v>126</v>
      </c>
      <c r="K195" s="121" t="s">
        <v>130</v>
      </c>
    </row>
    <row r="196" spans="1:11" ht="17" hidden="1" outlineLevel="1" thickBot="1">
      <c r="A196" s="122"/>
      <c r="B196" s="124"/>
      <c r="C196" s="122"/>
      <c r="D196" s="125" t="s">
        <v>396</v>
      </c>
      <c r="E196" s="126"/>
      <c r="F196" s="126"/>
      <c r="G196" s="127"/>
      <c r="H196" s="125" t="s">
        <v>154</v>
      </c>
      <c r="I196" s="127"/>
      <c r="J196" s="122"/>
      <c r="K196" s="122"/>
    </row>
    <row r="197" spans="1:11" ht="17" hidden="1" outlineLevel="1">
      <c r="A197" s="9" t="s">
        <v>400</v>
      </c>
      <c r="B197" s="79" t="s">
        <v>410</v>
      </c>
      <c r="C197" s="8" t="s">
        <v>401</v>
      </c>
      <c r="D197" s="114" t="str">
        <f>REPT(cash!D64,1)</f>
        <v>94000</v>
      </c>
      <c r="E197" s="114"/>
      <c r="F197" s="114"/>
      <c r="G197" s="114"/>
      <c r="H197" s="114" t="str">
        <f>REPT(cash!F64,1)</f>
        <v>1759,68</v>
      </c>
      <c r="I197" s="114"/>
      <c r="J197" s="12" t="s">
        <v>131</v>
      </c>
      <c r="K197" s="8" t="s">
        <v>132</v>
      </c>
    </row>
    <row r="198" spans="1:11" ht="17" hidden="1" outlineLevel="1">
      <c r="A198" s="9" t="s">
        <v>400</v>
      </c>
      <c r="B198" s="79" t="s">
        <v>410</v>
      </c>
      <c r="C198" s="8" t="s">
        <v>402</v>
      </c>
      <c r="D198" s="114" t="str">
        <f>REPT(cash!D65,1)</f>
        <v>94000</v>
      </c>
      <c r="E198" s="114"/>
      <c r="F198" s="114"/>
      <c r="G198" s="114"/>
      <c r="H198" s="114" t="str">
        <f>REPT(cash!F65,1)</f>
        <v>2639,52</v>
      </c>
      <c r="I198" s="114"/>
      <c r="J198" s="12" t="s">
        <v>131</v>
      </c>
      <c r="K198" s="8" t="s">
        <v>132</v>
      </c>
    </row>
    <row r="199" spans="1:11" ht="17" hidden="1" outlineLevel="1">
      <c r="A199" s="9" t="s">
        <v>400</v>
      </c>
      <c r="B199" s="79" t="s">
        <v>410</v>
      </c>
      <c r="C199" s="8" t="s">
        <v>403</v>
      </c>
      <c r="D199" s="114" t="str">
        <f>REPT(cash!D66,1)</f>
        <v>94000</v>
      </c>
      <c r="E199" s="114"/>
      <c r="F199" s="114"/>
      <c r="G199" s="114"/>
      <c r="H199" s="114" t="str">
        <f>REPT(cash!F66,1)</f>
        <v>3519,36</v>
      </c>
      <c r="I199" s="114"/>
      <c r="J199" s="12" t="s">
        <v>131</v>
      </c>
      <c r="K199" s="8" t="s">
        <v>132</v>
      </c>
    </row>
    <row r="200" spans="1:11" ht="17" hidden="1" outlineLevel="1">
      <c r="A200" s="9" t="s">
        <v>400</v>
      </c>
      <c r="B200" s="79" t="s">
        <v>410</v>
      </c>
      <c r="C200" s="8" t="s">
        <v>404</v>
      </c>
      <c r="D200" s="114" t="str">
        <f>REPT(cash!D67,1)</f>
        <v>94000</v>
      </c>
      <c r="E200" s="114"/>
      <c r="F200" s="114"/>
      <c r="G200" s="114"/>
      <c r="H200" s="114" t="str">
        <f>REPT(cash!F67,1)</f>
        <v>4399,2</v>
      </c>
      <c r="I200" s="114"/>
      <c r="J200" s="12" t="s">
        <v>131</v>
      </c>
      <c r="K200" s="8" t="s">
        <v>132</v>
      </c>
    </row>
    <row r="201" spans="1:11" ht="17" hidden="1" outlineLevel="1">
      <c r="A201" s="9" t="s">
        <v>400</v>
      </c>
      <c r="B201" s="79" t="s">
        <v>410</v>
      </c>
      <c r="C201" s="8" t="s">
        <v>405</v>
      </c>
      <c r="D201" s="114" t="str">
        <f>REPT(cash!D68,1)</f>
        <v>94000</v>
      </c>
      <c r="E201" s="114"/>
      <c r="F201" s="114"/>
      <c r="G201" s="114"/>
      <c r="H201" s="114" t="str">
        <f>REPT(cash!F68,1)</f>
        <v>5279,04</v>
      </c>
      <c r="I201" s="114"/>
      <c r="J201" s="12" t="s">
        <v>131</v>
      </c>
      <c r="K201" s="8" t="s">
        <v>132</v>
      </c>
    </row>
    <row r="202" spans="1:11" ht="17" hidden="1" outlineLevel="1">
      <c r="A202" s="9" t="s">
        <v>400</v>
      </c>
      <c r="B202" s="79" t="s">
        <v>410</v>
      </c>
      <c r="C202" s="8" t="s">
        <v>406</v>
      </c>
      <c r="D202" s="114" t="str">
        <f>REPT(cash!D69,1)</f>
        <v>94000</v>
      </c>
      <c r="E202" s="114"/>
      <c r="F202" s="114"/>
      <c r="G202" s="114"/>
      <c r="H202" s="114" t="str">
        <f>REPT(cash!F69,1)</f>
        <v>6158,88</v>
      </c>
      <c r="I202" s="114"/>
      <c r="J202" s="12" t="s">
        <v>131</v>
      </c>
      <c r="K202" s="8" t="s">
        <v>132</v>
      </c>
    </row>
    <row r="203" spans="1:11" ht="17" hidden="1" outlineLevel="1">
      <c r="A203" s="9" t="s">
        <v>400</v>
      </c>
      <c r="B203" s="79" t="s">
        <v>410</v>
      </c>
      <c r="C203" s="8" t="s">
        <v>407</v>
      </c>
      <c r="D203" s="114" t="str">
        <f>REPT(cash!D70,1)</f>
        <v>94000</v>
      </c>
      <c r="E203" s="114"/>
      <c r="F203" s="114"/>
      <c r="G203" s="114"/>
      <c r="H203" s="114" t="str">
        <f>REPT(cash!F70,1)</f>
        <v>7038,72</v>
      </c>
      <c r="I203" s="114"/>
      <c r="J203" s="12" t="s">
        <v>131</v>
      </c>
      <c r="K203" s="8" t="s">
        <v>132</v>
      </c>
    </row>
    <row r="204" spans="1:11" ht="17" hidden="1" outlineLevel="1">
      <c r="A204" s="9" t="s">
        <v>400</v>
      </c>
      <c r="B204" s="79" t="s">
        <v>410</v>
      </c>
      <c r="C204" s="8" t="s">
        <v>408</v>
      </c>
      <c r="D204" s="114" t="str">
        <f>REPT(cash!D71,1)</f>
        <v>94000</v>
      </c>
      <c r="E204" s="114"/>
      <c r="F204" s="114"/>
      <c r="G204" s="114"/>
      <c r="H204" s="114" t="str">
        <f>REPT(cash!F71,1)</f>
        <v>7918,56</v>
      </c>
      <c r="I204" s="114"/>
      <c r="J204" s="12" t="s">
        <v>131</v>
      </c>
      <c r="K204" s="8" t="s">
        <v>132</v>
      </c>
    </row>
    <row r="205" spans="1:11" ht="17" hidden="1" outlineLevel="1">
      <c r="A205" s="9" t="s">
        <v>400</v>
      </c>
      <c r="B205" s="79" t="s">
        <v>410</v>
      </c>
      <c r="C205" s="8" t="s">
        <v>409</v>
      </c>
      <c r="D205" s="114" t="str">
        <f>REPT(cash!D72,1)</f>
        <v>94000</v>
      </c>
      <c r="E205" s="114"/>
      <c r="F205" s="114"/>
      <c r="G205" s="114"/>
      <c r="H205" s="114" t="str">
        <f>REPT(cash!F72,1)</f>
        <v>8798,4</v>
      </c>
      <c r="I205" s="114"/>
      <c r="J205" s="12" t="s">
        <v>131</v>
      </c>
      <c r="K205" s="8" t="s">
        <v>132</v>
      </c>
    </row>
    <row r="206" spans="1:11" ht="34" hidden="1" outlineLevel="1">
      <c r="A206" s="9" t="s">
        <v>412</v>
      </c>
      <c r="B206" s="79" t="s">
        <v>413</v>
      </c>
      <c r="C206" s="4" t="s">
        <v>418</v>
      </c>
      <c r="D206" s="110" t="str">
        <f>REPT(cash!D73,1)</f>
        <v>16800</v>
      </c>
      <c r="E206" s="111"/>
      <c r="F206" s="111"/>
      <c r="G206" s="112"/>
      <c r="H206" s="114" t="str">
        <f>REPT(cash!F73,1)</f>
        <v>договорная</v>
      </c>
      <c r="I206" s="114"/>
      <c r="J206" s="12" t="s">
        <v>131</v>
      </c>
      <c r="K206" s="12" t="s">
        <v>132</v>
      </c>
    </row>
    <row r="207" spans="1:11" ht="17" collapsed="1" thickBot="1">
      <c r="A207" s="115" t="s">
        <v>292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7"/>
    </row>
    <row r="208" spans="1:11" ht="17" thickBot="1">
      <c r="A208" s="118" t="s">
        <v>417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6"/>
    </row>
    <row r="209" spans="1:11" ht="17" hidden="1" outlineLevel="1" thickBot="1">
      <c r="A209" s="121" t="s">
        <v>123</v>
      </c>
      <c r="B209" s="123" t="s">
        <v>122</v>
      </c>
      <c r="C209" s="121" t="s">
        <v>117</v>
      </c>
      <c r="D209" s="125" t="s">
        <v>124</v>
      </c>
      <c r="E209" s="126"/>
      <c r="F209" s="126"/>
      <c r="G209" s="127"/>
      <c r="H209" s="128" t="s">
        <v>283</v>
      </c>
      <c r="I209" s="129"/>
      <c r="J209" s="121" t="s">
        <v>126</v>
      </c>
      <c r="K209" s="121" t="s">
        <v>130</v>
      </c>
    </row>
    <row r="210" spans="1:11" ht="17" hidden="1" outlineLevel="1" thickBot="1">
      <c r="A210" s="122"/>
      <c r="B210" s="124"/>
      <c r="C210" s="122"/>
      <c r="D210" s="125" t="s">
        <v>396</v>
      </c>
      <c r="E210" s="126"/>
      <c r="F210" s="126"/>
      <c r="G210" s="127"/>
      <c r="H210" s="128" t="s">
        <v>154</v>
      </c>
      <c r="I210" s="129"/>
      <c r="J210" s="122"/>
      <c r="K210" s="122"/>
    </row>
    <row r="211" spans="1:11" ht="34" hidden="1" outlineLevel="1">
      <c r="A211" s="9" t="s">
        <v>420</v>
      </c>
      <c r="B211" s="26" t="s">
        <v>419</v>
      </c>
      <c r="C211" s="4" t="s">
        <v>422</v>
      </c>
      <c r="D211" s="138" t="str">
        <f>REPT(cash!D75,1)</f>
        <v>43650</v>
      </c>
      <c r="E211" s="139"/>
      <c r="F211" s="139"/>
      <c r="G211" s="140"/>
      <c r="H211" s="113" t="str">
        <f>REPT(cash!F75,1)</f>
        <v>46800</v>
      </c>
      <c r="I211" s="113"/>
      <c r="J211" s="12" t="s">
        <v>131</v>
      </c>
      <c r="K211" s="12" t="s">
        <v>132</v>
      </c>
    </row>
    <row r="212" spans="1:11" ht="17" hidden="1" outlineLevel="1">
      <c r="A212" s="9" t="s">
        <v>421</v>
      </c>
      <c r="B212" s="79" t="s">
        <v>37</v>
      </c>
      <c r="C212" s="8" t="s">
        <v>423</v>
      </c>
      <c r="D212" s="113" t="str">
        <f>REPT(cash!D76,1)</f>
        <v>21420</v>
      </c>
      <c r="E212" s="113"/>
      <c r="F212" s="113"/>
      <c r="G212" s="113"/>
      <c r="H212" s="113" t="str">
        <f>REPT(cash!F76,1)</f>
        <v>26800</v>
      </c>
      <c r="I212" s="113"/>
      <c r="J212" s="12" t="s">
        <v>131</v>
      </c>
      <c r="K212" s="8" t="s">
        <v>132</v>
      </c>
    </row>
    <row r="213" spans="1:11" ht="17" collapsed="1" thickBot="1">
      <c r="A213" s="115" t="s">
        <v>292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7"/>
    </row>
    <row r="214" spans="1:11" ht="17" thickBot="1">
      <c r="A214" s="118" t="s">
        <v>424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6"/>
    </row>
    <row r="215" spans="1:11" ht="17" hidden="1" outlineLevel="1" thickBot="1">
      <c r="A215" s="121" t="s">
        <v>123</v>
      </c>
      <c r="B215" s="123" t="s">
        <v>122</v>
      </c>
      <c r="C215" s="121" t="s">
        <v>117</v>
      </c>
      <c r="D215" s="125" t="s">
        <v>124</v>
      </c>
      <c r="E215" s="126"/>
      <c r="F215" s="126"/>
      <c r="G215" s="127"/>
      <c r="H215" s="125" t="s">
        <v>283</v>
      </c>
      <c r="I215" s="127"/>
      <c r="J215" s="121" t="s">
        <v>126</v>
      </c>
      <c r="K215" s="121" t="s">
        <v>130</v>
      </c>
    </row>
    <row r="216" spans="1:11" ht="17" hidden="1" outlineLevel="1" thickBot="1">
      <c r="A216" s="122"/>
      <c r="B216" s="124"/>
      <c r="C216" s="122"/>
      <c r="D216" s="125" t="s">
        <v>153</v>
      </c>
      <c r="E216" s="127"/>
      <c r="F216" s="125" t="s">
        <v>154</v>
      </c>
      <c r="G216" s="127"/>
      <c r="H216" s="56" t="s">
        <v>153</v>
      </c>
      <c r="I216" s="56" t="s">
        <v>154</v>
      </c>
      <c r="J216" s="122"/>
      <c r="K216" s="122"/>
    </row>
    <row r="217" spans="1:11" ht="17" hidden="1" outlineLevel="1">
      <c r="A217" s="9" t="s">
        <v>430</v>
      </c>
      <c r="B217" s="79" t="s">
        <v>431</v>
      </c>
      <c r="C217" s="69" t="s">
        <v>470</v>
      </c>
      <c r="D217" s="132" t="str">
        <f>REPT(cash!D78,1)</f>
        <v>118000</v>
      </c>
      <c r="E217" s="133"/>
      <c r="F217" s="133"/>
      <c r="G217" s="134"/>
      <c r="H217" s="132" t="str">
        <f>REPT(cash!F78,1)</f>
        <v>договорная</v>
      </c>
      <c r="I217" s="134"/>
      <c r="J217" s="12" t="s">
        <v>131</v>
      </c>
      <c r="K217" s="69" t="s">
        <v>132</v>
      </c>
    </row>
    <row r="218" spans="1:11" ht="17" hidden="1" outlineLevel="1">
      <c r="A218" s="9" t="s">
        <v>432</v>
      </c>
      <c r="B218" s="79" t="s">
        <v>433</v>
      </c>
      <c r="C218" s="69" t="s">
        <v>470</v>
      </c>
      <c r="D218" s="110" t="str">
        <f>REPT(cash!D78,1)</f>
        <v>118000</v>
      </c>
      <c r="E218" s="111"/>
      <c r="F218" s="111"/>
      <c r="G218" s="112"/>
      <c r="H218" s="110" t="str">
        <f>REPT(cash!F78,1)</f>
        <v>договорная</v>
      </c>
      <c r="I218" s="112"/>
      <c r="J218" s="12" t="s">
        <v>131</v>
      </c>
      <c r="K218" s="69" t="s">
        <v>132</v>
      </c>
    </row>
    <row r="219" spans="1:11" ht="17" hidden="1" outlineLevel="1">
      <c r="A219" s="9" t="s">
        <v>434</v>
      </c>
      <c r="B219" s="79" t="s">
        <v>436</v>
      </c>
      <c r="C219" s="69" t="s">
        <v>470</v>
      </c>
      <c r="D219" s="110" t="str">
        <f>REPT(cash!D78,1)</f>
        <v>118000</v>
      </c>
      <c r="E219" s="111"/>
      <c r="F219" s="111"/>
      <c r="G219" s="112"/>
      <c r="H219" s="110" t="str">
        <f>REPT(cash!F78,1)</f>
        <v>договорная</v>
      </c>
      <c r="I219" s="112"/>
      <c r="J219" s="69" t="s">
        <v>131</v>
      </c>
      <c r="K219" s="69" t="s">
        <v>132</v>
      </c>
    </row>
    <row r="220" spans="1:11" ht="17" hidden="1" outlineLevel="1">
      <c r="A220" s="9" t="s">
        <v>435</v>
      </c>
      <c r="B220" s="79" t="s">
        <v>437</v>
      </c>
      <c r="C220" s="69" t="s">
        <v>470</v>
      </c>
      <c r="D220" s="110" t="str">
        <f>REPT(cash!D78,1)</f>
        <v>118000</v>
      </c>
      <c r="E220" s="111"/>
      <c r="F220" s="111"/>
      <c r="G220" s="112"/>
      <c r="H220" s="110" t="str">
        <f>REPT(cash!F78,1)</f>
        <v>договорная</v>
      </c>
      <c r="I220" s="112"/>
      <c r="J220" s="69" t="s">
        <v>131</v>
      </c>
      <c r="K220" s="69" t="s">
        <v>132</v>
      </c>
    </row>
    <row r="221" spans="1:11" ht="17" hidden="1" outlineLevel="1">
      <c r="A221" s="9" t="s">
        <v>425</v>
      </c>
      <c r="B221" s="79" t="s">
        <v>426</v>
      </c>
      <c r="C221" s="69" t="s">
        <v>467</v>
      </c>
      <c r="D221" s="113" t="str">
        <f>REPT(cash!D79,1)</f>
        <v>46400</v>
      </c>
      <c r="E221" s="113"/>
      <c r="F221" s="110">
        <f>(D221/1000)*20</f>
        <v>928</v>
      </c>
      <c r="G221" s="112"/>
      <c r="H221" s="110" t="str">
        <f>REPT(cash!F79,1)</f>
        <v>договорная</v>
      </c>
      <c r="I221" s="112"/>
      <c r="J221" s="12" t="s">
        <v>131</v>
      </c>
      <c r="K221" s="12" t="s">
        <v>132</v>
      </c>
    </row>
    <row r="222" spans="1:11" ht="17" hidden="1" outlineLevel="1">
      <c r="A222" s="9" t="s">
        <v>425</v>
      </c>
      <c r="B222" s="79" t="s">
        <v>427</v>
      </c>
      <c r="C222" s="69" t="s">
        <v>467</v>
      </c>
      <c r="D222" s="113" t="str">
        <f>REPT(cash!D80,1)</f>
        <v>340000</v>
      </c>
      <c r="E222" s="113"/>
      <c r="F222" s="110">
        <f t="shared" ref="F222:F227" si="4">(D222/1000)*20</f>
        <v>6800</v>
      </c>
      <c r="G222" s="112"/>
      <c r="H222" s="110" t="str">
        <f>REPT(cash!F80,1)</f>
        <v>договорная</v>
      </c>
      <c r="I222" s="112"/>
      <c r="J222" s="12" t="s">
        <v>131</v>
      </c>
      <c r="K222" s="12" t="s">
        <v>132</v>
      </c>
    </row>
    <row r="223" spans="1:11" ht="17" hidden="1" outlineLevel="1">
      <c r="A223" s="9" t="s">
        <v>425</v>
      </c>
      <c r="B223" s="79" t="s">
        <v>428</v>
      </c>
      <c r="C223" s="69" t="s">
        <v>467</v>
      </c>
      <c r="D223" s="113" t="str">
        <f>REPT(cash!D81,1)</f>
        <v>320200</v>
      </c>
      <c r="E223" s="113"/>
      <c r="F223" s="110">
        <f t="shared" si="4"/>
        <v>6404</v>
      </c>
      <c r="G223" s="112"/>
      <c r="H223" s="110" t="str">
        <f>REPT(cash!F81,1)</f>
        <v>договорная</v>
      </c>
      <c r="I223" s="112"/>
      <c r="J223" s="12" t="s">
        <v>131</v>
      </c>
      <c r="K223" s="12" t="s">
        <v>132</v>
      </c>
    </row>
    <row r="224" spans="1:11" ht="17" hidden="1" outlineLevel="1">
      <c r="A224" s="9" t="s">
        <v>425</v>
      </c>
      <c r="B224" s="79" t="s">
        <v>43</v>
      </c>
      <c r="C224" s="69" t="s">
        <v>467</v>
      </c>
      <c r="D224" s="113" t="str">
        <f>REPT(cash!D82,1)</f>
        <v>320800</v>
      </c>
      <c r="E224" s="113"/>
      <c r="F224" s="110">
        <f t="shared" si="4"/>
        <v>6416</v>
      </c>
      <c r="G224" s="112"/>
      <c r="H224" s="110" t="str">
        <f>REPT(cash!F82,1)</f>
        <v>договорная</v>
      </c>
      <c r="I224" s="112"/>
      <c r="J224" s="12" t="s">
        <v>131</v>
      </c>
      <c r="K224" s="12" t="s">
        <v>132</v>
      </c>
    </row>
    <row r="225" spans="1:11" ht="17" hidden="1" outlineLevel="1">
      <c r="A225" s="9" t="s">
        <v>425</v>
      </c>
      <c r="B225" s="79" t="s">
        <v>44</v>
      </c>
      <c r="C225" s="69" t="s">
        <v>467</v>
      </c>
      <c r="D225" s="113" t="str">
        <f>REPT(cash!D83,1)</f>
        <v>320900</v>
      </c>
      <c r="E225" s="113"/>
      <c r="F225" s="110">
        <f t="shared" si="4"/>
        <v>6418</v>
      </c>
      <c r="G225" s="112"/>
      <c r="H225" s="110" t="str">
        <f>REPT(cash!F83,1)</f>
        <v>договорная</v>
      </c>
      <c r="I225" s="112"/>
      <c r="J225" s="12" t="s">
        <v>131</v>
      </c>
      <c r="K225" s="12" t="s">
        <v>132</v>
      </c>
    </row>
    <row r="226" spans="1:11" ht="17" hidden="1" outlineLevel="1">
      <c r="A226" s="9" t="s">
        <v>425</v>
      </c>
      <c r="B226" s="79" t="s">
        <v>45</v>
      </c>
      <c r="C226" s="69" t="s">
        <v>467</v>
      </c>
      <c r="D226" s="113" t="str">
        <f>REPT(cash!D84,1)</f>
        <v>320900</v>
      </c>
      <c r="E226" s="113"/>
      <c r="F226" s="110">
        <f t="shared" si="4"/>
        <v>6418</v>
      </c>
      <c r="G226" s="112"/>
      <c r="H226" s="110" t="str">
        <f>REPT(cash!F84,1)</f>
        <v>договорная</v>
      </c>
      <c r="I226" s="112"/>
      <c r="J226" s="12" t="s">
        <v>131</v>
      </c>
      <c r="K226" s="12" t="s">
        <v>132</v>
      </c>
    </row>
    <row r="227" spans="1:11" ht="17" hidden="1" outlineLevel="1">
      <c r="A227" s="9" t="s">
        <v>425</v>
      </c>
      <c r="B227" s="79" t="s">
        <v>429</v>
      </c>
      <c r="C227" s="69" t="s">
        <v>467</v>
      </c>
      <c r="D227" s="113" t="str">
        <f>REPT(cash!D85,1)</f>
        <v>320900</v>
      </c>
      <c r="E227" s="113"/>
      <c r="F227" s="110">
        <f t="shared" si="4"/>
        <v>6418</v>
      </c>
      <c r="G227" s="112"/>
      <c r="H227" s="110" t="str">
        <f>REPT(cash!F85,1)</f>
        <v>договорная</v>
      </c>
      <c r="I227" s="112"/>
      <c r="J227" s="12" t="s">
        <v>131</v>
      </c>
      <c r="K227" s="12" t="s">
        <v>132</v>
      </c>
    </row>
    <row r="228" spans="1:11" ht="17" collapsed="1" thickBot="1">
      <c r="A228" s="115" t="s">
        <v>292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7"/>
    </row>
    <row r="229" spans="1:11" ht="17" thickBot="1">
      <c r="A229" s="118" t="s">
        <v>438</v>
      </c>
      <c r="B229" s="135"/>
      <c r="C229" s="135"/>
      <c r="D229" s="135"/>
      <c r="E229" s="135"/>
      <c r="F229" s="135"/>
      <c r="G229" s="135"/>
      <c r="H229" s="135"/>
      <c r="I229" s="135"/>
      <c r="J229" s="135"/>
      <c r="K229" s="136"/>
    </row>
    <row r="230" spans="1:11" ht="17" hidden="1" outlineLevel="1" thickBot="1">
      <c r="A230" s="121" t="s">
        <v>123</v>
      </c>
      <c r="B230" s="123" t="s">
        <v>122</v>
      </c>
      <c r="C230" s="121" t="s">
        <v>117</v>
      </c>
      <c r="D230" s="125" t="s">
        <v>124</v>
      </c>
      <c r="E230" s="126"/>
      <c r="F230" s="126"/>
      <c r="G230" s="127"/>
      <c r="H230" s="125" t="s">
        <v>283</v>
      </c>
      <c r="I230" s="127"/>
      <c r="J230" s="121" t="s">
        <v>126</v>
      </c>
      <c r="K230" s="121" t="s">
        <v>130</v>
      </c>
    </row>
    <row r="231" spans="1:11" ht="17" hidden="1" outlineLevel="1" thickBot="1">
      <c r="A231" s="122"/>
      <c r="B231" s="124"/>
      <c r="C231" s="122"/>
      <c r="D231" s="125" t="s">
        <v>153</v>
      </c>
      <c r="E231" s="127"/>
      <c r="F231" s="125" t="s">
        <v>411</v>
      </c>
      <c r="G231" s="127"/>
      <c r="H231" s="56" t="s">
        <v>153</v>
      </c>
      <c r="I231" s="56" t="s">
        <v>411</v>
      </c>
      <c r="J231" s="122"/>
      <c r="K231" s="122"/>
    </row>
    <row r="232" spans="1:11" ht="17" hidden="1" outlineLevel="1">
      <c r="A232" s="9" t="s">
        <v>439</v>
      </c>
      <c r="B232" s="79" t="s">
        <v>440</v>
      </c>
      <c r="C232" s="69" t="s">
        <v>446</v>
      </c>
      <c r="D232" s="114" t="str">
        <f>REPT(cash!D87,1)</f>
        <v>138000</v>
      </c>
      <c r="E232" s="114"/>
      <c r="F232" s="114"/>
      <c r="G232" s="114"/>
      <c r="H232" s="69" t="str">
        <f>REPT(cash!G87,1)</f>
        <v>договорная</v>
      </c>
      <c r="I232" s="69" t="str">
        <f>REPT(cash!F87,1)</f>
        <v>148</v>
      </c>
      <c r="J232" s="12" t="s">
        <v>131</v>
      </c>
      <c r="K232" s="12" t="s">
        <v>132</v>
      </c>
    </row>
    <row r="233" spans="1:11" ht="17" hidden="1" outlineLevel="1">
      <c r="A233" s="9" t="s">
        <v>441</v>
      </c>
      <c r="B233" s="79" t="s">
        <v>442</v>
      </c>
      <c r="C233" s="69" t="s">
        <v>446</v>
      </c>
      <c r="D233" s="113" t="str">
        <f>REPT(cash!D88,1)</f>
        <v>138000</v>
      </c>
      <c r="E233" s="113"/>
      <c r="F233" s="113"/>
      <c r="G233" s="113"/>
      <c r="H233" s="69" t="str">
        <f>REPT(cash!G88,1)</f>
        <v>договорная</v>
      </c>
      <c r="I233" s="69" t="str">
        <f>REPT(cash!F88,1)</f>
        <v>148</v>
      </c>
      <c r="J233" s="12" t="s">
        <v>131</v>
      </c>
      <c r="K233" s="12" t="s">
        <v>132</v>
      </c>
    </row>
    <row r="234" spans="1:11" ht="17" hidden="1" outlineLevel="1">
      <c r="A234" s="9" t="s">
        <v>441</v>
      </c>
      <c r="B234" s="79" t="s">
        <v>443</v>
      </c>
      <c r="C234" s="69" t="s">
        <v>446</v>
      </c>
      <c r="D234" s="113" t="str">
        <f>REPT(cash!D89,1)</f>
        <v>320000</v>
      </c>
      <c r="E234" s="113"/>
      <c r="F234" s="113"/>
      <c r="G234" s="113"/>
      <c r="H234" s="110" t="str">
        <f>REPT(cash!F89,1)</f>
        <v>договорная</v>
      </c>
      <c r="I234" s="112"/>
      <c r="J234" s="12" t="s">
        <v>131</v>
      </c>
      <c r="K234" s="12" t="s">
        <v>132</v>
      </c>
    </row>
    <row r="235" spans="1:11" ht="17" hidden="1" outlineLevel="1">
      <c r="A235" s="9" t="s">
        <v>441</v>
      </c>
      <c r="B235" s="79" t="s">
        <v>444</v>
      </c>
      <c r="C235" s="69" t="s">
        <v>446</v>
      </c>
      <c r="D235" s="113" t="str">
        <f>REPT(cash!D89,1)</f>
        <v>320000</v>
      </c>
      <c r="E235" s="113"/>
      <c r="F235" s="113"/>
      <c r="G235" s="113"/>
      <c r="H235" s="110" t="str">
        <f>REPT(cash!F89,1)</f>
        <v>договорная</v>
      </c>
      <c r="I235" s="112"/>
      <c r="J235" s="69" t="s">
        <v>131</v>
      </c>
      <c r="K235" s="12" t="s">
        <v>132</v>
      </c>
    </row>
    <row r="236" spans="1:11" ht="17" hidden="1" outlineLevel="1">
      <c r="A236" s="9" t="s">
        <v>441</v>
      </c>
      <c r="B236" s="79" t="s">
        <v>445</v>
      </c>
      <c r="C236" s="69" t="s">
        <v>448</v>
      </c>
      <c r="D236" s="110" t="str">
        <f>REPT(cash!E90,1)</f>
        <v>договорная</v>
      </c>
      <c r="E236" s="112"/>
      <c r="F236" s="110" t="str">
        <f>REPT(cash!D90,1)</f>
        <v>960</v>
      </c>
      <c r="G236" s="112"/>
      <c r="H236" s="110" t="str">
        <f>REPT(cash!F90,1)</f>
        <v>договорная</v>
      </c>
      <c r="I236" s="112"/>
      <c r="J236" s="12" t="s">
        <v>131</v>
      </c>
      <c r="K236" s="12" t="s">
        <v>132</v>
      </c>
    </row>
    <row r="237" spans="1:11" ht="17" hidden="1" outlineLevel="1">
      <c r="A237" s="9" t="s">
        <v>441</v>
      </c>
      <c r="B237" s="79" t="s">
        <v>445</v>
      </c>
      <c r="C237" s="69" t="s">
        <v>449</v>
      </c>
      <c r="D237" s="110" t="str">
        <f>REPT(cash!E91,1)</f>
        <v>договорная</v>
      </c>
      <c r="E237" s="112"/>
      <c r="F237" s="110" t="str">
        <f>REPT(cash!D91,1)</f>
        <v>1040</v>
      </c>
      <c r="G237" s="112"/>
      <c r="H237" s="110" t="str">
        <f>REPT(cash!F91,1)</f>
        <v>договорная</v>
      </c>
      <c r="I237" s="112"/>
      <c r="J237" s="12" t="s">
        <v>131</v>
      </c>
      <c r="K237" s="12" t="s">
        <v>132</v>
      </c>
    </row>
    <row r="238" spans="1:11" ht="17" collapsed="1" thickBot="1">
      <c r="A238" s="115" t="s">
        <v>292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7"/>
    </row>
    <row r="239" spans="1:11" ht="17" thickBot="1">
      <c r="A239" s="118" t="s">
        <v>450</v>
      </c>
      <c r="B239" s="135"/>
      <c r="C239" s="135"/>
      <c r="D239" s="135"/>
      <c r="E239" s="135"/>
      <c r="F239" s="135"/>
      <c r="G239" s="135"/>
      <c r="H239" s="135"/>
      <c r="I239" s="135"/>
      <c r="J239" s="135"/>
      <c r="K239" s="136"/>
    </row>
    <row r="240" spans="1:11" ht="17" hidden="1" customHeight="1" outlineLevel="1" thickBot="1">
      <c r="A240" s="121" t="s">
        <v>123</v>
      </c>
      <c r="B240" s="123" t="s">
        <v>122</v>
      </c>
      <c r="C240" s="121" t="s">
        <v>117</v>
      </c>
      <c r="D240" s="125" t="s">
        <v>124</v>
      </c>
      <c r="E240" s="126"/>
      <c r="F240" s="126"/>
      <c r="G240" s="127"/>
      <c r="H240" s="125" t="s">
        <v>283</v>
      </c>
      <c r="I240" s="127"/>
      <c r="J240" s="121" t="s">
        <v>126</v>
      </c>
      <c r="K240" s="121" t="s">
        <v>130</v>
      </c>
    </row>
    <row r="241" spans="1:11" ht="17" hidden="1" outlineLevel="1" thickBot="1">
      <c r="A241" s="122"/>
      <c r="B241" s="124"/>
      <c r="C241" s="122"/>
      <c r="D241" s="125" t="s">
        <v>475</v>
      </c>
      <c r="E241" s="126"/>
      <c r="F241" s="126"/>
      <c r="G241" s="127"/>
      <c r="H241" s="125" t="s">
        <v>154</v>
      </c>
      <c r="I241" s="127"/>
      <c r="J241" s="122"/>
      <c r="K241" s="122"/>
    </row>
    <row r="242" spans="1:11" ht="17" hidden="1" outlineLevel="1">
      <c r="A242" s="9" t="s">
        <v>454</v>
      </c>
      <c r="B242" s="79" t="s">
        <v>455</v>
      </c>
      <c r="C242" s="69" t="s">
        <v>458</v>
      </c>
      <c r="D242" s="114" t="str">
        <f>REPT(cash!D93,1)</f>
        <v>49800</v>
      </c>
      <c r="E242" s="114"/>
      <c r="F242" s="114"/>
      <c r="G242" s="114"/>
      <c r="H242" s="114" t="str">
        <f>REPT(cash!F93,1)</f>
        <v>720</v>
      </c>
      <c r="I242" s="114"/>
      <c r="J242" s="12" t="s">
        <v>131</v>
      </c>
      <c r="K242" s="69" t="s">
        <v>132</v>
      </c>
    </row>
    <row r="243" spans="1:11" ht="17" hidden="1" outlineLevel="1">
      <c r="A243" s="9" t="s">
        <v>452</v>
      </c>
      <c r="B243" s="79" t="s">
        <v>453</v>
      </c>
      <c r="C243" s="69" t="s">
        <v>459</v>
      </c>
      <c r="D243" s="113" t="str">
        <f>REPT(cash!D94,1)</f>
        <v>98000</v>
      </c>
      <c r="E243" s="113"/>
      <c r="F243" s="113"/>
      <c r="G243" s="113"/>
      <c r="H243" s="113" t="str">
        <f>REPT(cash!F94,1)</f>
        <v>2890</v>
      </c>
      <c r="I243" s="113"/>
      <c r="J243" s="12" t="s">
        <v>131</v>
      </c>
      <c r="K243" s="69" t="s">
        <v>132</v>
      </c>
    </row>
    <row r="244" spans="1:11" ht="17" hidden="1" outlineLevel="1">
      <c r="A244" s="9" t="s">
        <v>456</v>
      </c>
      <c r="B244" s="79" t="s">
        <v>54</v>
      </c>
      <c r="C244" s="69" t="s">
        <v>396</v>
      </c>
      <c r="D244" s="113" t="str">
        <f>REPT(cash!D95,1)</f>
        <v>5800</v>
      </c>
      <c r="E244" s="113"/>
      <c r="F244" s="113"/>
      <c r="G244" s="113"/>
      <c r="H244" s="113" t="str">
        <f>REPT(cash!F95,1)</f>
        <v>договорная</v>
      </c>
      <c r="I244" s="113"/>
      <c r="J244" s="12" t="s">
        <v>131</v>
      </c>
      <c r="K244" s="69" t="s">
        <v>132</v>
      </c>
    </row>
    <row r="245" spans="1:11" ht="17" hidden="1" outlineLevel="1">
      <c r="A245" s="9" t="s">
        <v>457</v>
      </c>
      <c r="B245" s="79" t="s">
        <v>55</v>
      </c>
      <c r="C245" s="69" t="s">
        <v>467</v>
      </c>
      <c r="D245" s="113" t="str">
        <f>REPT(cash!D96,1)</f>
        <v>17800</v>
      </c>
      <c r="E245" s="113"/>
      <c r="F245" s="113"/>
      <c r="G245" s="113"/>
      <c r="H245" s="113" t="str">
        <f>REPT(cash!F96,1)</f>
        <v>500</v>
      </c>
      <c r="I245" s="113"/>
      <c r="J245" s="12" t="s">
        <v>131</v>
      </c>
      <c r="K245" s="69" t="s">
        <v>132</v>
      </c>
    </row>
    <row r="246" spans="1:11" ht="17" hidden="1" outlineLevel="1">
      <c r="A246" s="9" t="s">
        <v>457</v>
      </c>
      <c r="B246" s="79" t="s">
        <v>482</v>
      </c>
      <c r="C246" s="69" t="s">
        <v>153</v>
      </c>
      <c r="D246" s="113" t="str">
        <f>REPT(cash!D97,1)</f>
        <v>9960</v>
      </c>
      <c r="E246" s="113"/>
      <c r="F246" s="113"/>
      <c r="G246" s="113"/>
      <c r="H246" s="113" t="str">
        <f>REPT(cash!F97,1)</f>
        <v>договорная</v>
      </c>
      <c r="I246" s="113"/>
      <c r="J246" s="12" t="s">
        <v>131</v>
      </c>
      <c r="K246" s="69" t="s">
        <v>132</v>
      </c>
    </row>
    <row r="247" spans="1:11" ht="17" collapsed="1" thickBot="1">
      <c r="A247" s="115" t="s">
        <v>292</v>
      </c>
      <c r="B247" s="116"/>
      <c r="C247" s="116"/>
      <c r="D247" s="116"/>
      <c r="E247" s="116"/>
      <c r="F247" s="116"/>
      <c r="G247" s="116"/>
      <c r="H247" s="116"/>
      <c r="I247" s="116"/>
      <c r="J247" s="116"/>
      <c r="K247" s="117"/>
    </row>
    <row r="248" spans="1:11" ht="17" thickBot="1">
      <c r="A248" s="118" t="s">
        <v>463</v>
      </c>
      <c r="B248" s="135"/>
      <c r="C248" s="135"/>
      <c r="D248" s="135"/>
      <c r="E248" s="135"/>
      <c r="F248" s="135"/>
      <c r="G248" s="135"/>
      <c r="H248" s="135"/>
      <c r="I248" s="135"/>
      <c r="J248" s="135"/>
      <c r="K248" s="136"/>
    </row>
    <row r="249" spans="1:11" ht="17" hidden="1" customHeight="1" outlineLevel="1" thickBot="1">
      <c r="A249" s="121" t="s">
        <v>123</v>
      </c>
      <c r="B249" s="123" t="s">
        <v>122</v>
      </c>
      <c r="C249" s="121" t="s">
        <v>117</v>
      </c>
      <c r="D249" s="128" t="s">
        <v>124</v>
      </c>
      <c r="E249" s="137"/>
      <c r="F249" s="137"/>
      <c r="G249" s="129"/>
      <c r="H249" s="125" t="s">
        <v>283</v>
      </c>
      <c r="I249" s="127"/>
      <c r="J249" s="121" t="s">
        <v>126</v>
      </c>
      <c r="K249" s="121" t="s">
        <v>130</v>
      </c>
    </row>
    <row r="250" spans="1:11" ht="17" hidden="1" outlineLevel="1" thickBot="1">
      <c r="A250" s="122"/>
      <c r="B250" s="124"/>
      <c r="C250" s="122"/>
      <c r="D250" s="125" t="s">
        <v>153</v>
      </c>
      <c r="E250" s="126"/>
      <c r="F250" s="126"/>
      <c r="G250" s="127"/>
      <c r="H250" s="125" t="s">
        <v>154</v>
      </c>
      <c r="I250" s="127"/>
      <c r="J250" s="122"/>
      <c r="K250" s="122"/>
    </row>
    <row r="251" spans="1:11" ht="17" hidden="1" outlineLevel="1">
      <c r="A251" s="9" t="s">
        <v>464</v>
      </c>
      <c r="B251" s="26" t="s">
        <v>465</v>
      </c>
      <c r="C251" s="4" t="s">
        <v>469</v>
      </c>
      <c r="D251" s="114" t="str">
        <f>REPT(cash!D99,1)</f>
        <v>38600</v>
      </c>
      <c r="E251" s="114"/>
      <c r="F251" s="114"/>
      <c r="G251" s="114"/>
      <c r="H251" s="114" t="str">
        <f>REPT(cash!F99,1)</f>
        <v>920</v>
      </c>
      <c r="I251" s="114"/>
      <c r="J251" s="12" t="s">
        <v>131</v>
      </c>
      <c r="K251" s="69" t="s">
        <v>132</v>
      </c>
    </row>
    <row r="252" spans="1:11" ht="34" hidden="1" outlineLevel="1">
      <c r="A252" s="9" t="s">
        <v>464</v>
      </c>
      <c r="B252" s="79" t="s">
        <v>466</v>
      </c>
      <c r="C252" s="4" t="s">
        <v>468</v>
      </c>
      <c r="D252" s="113" t="str">
        <f>REPT(cash!D100,1)</f>
        <v>89200</v>
      </c>
      <c r="E252" s="113"/>
      <c r="F252" s="113"/>
      <c r="G252" s="113"/>
      <c r="H252" s="113" t="str">
        <f>REPT(cash!F100,1)</f>
        <v>2100</v>
      </c>
      <c r="I252" s="113"/>
      <c r="J252" s="12" t="s">
        <v>131</v>
      </c>
      <c r="K252" s="69" t="s">
        <v>132</v>
      </c>
    </row>
    <row r="253" spans="1:11" ht="17" collapsed="1" thickBot="1">
      <c r="A253" s="115" t="s">
        <v>292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7"/>
    </row>
    <row r="254" spans="1:11" ht="17" thickBot="1">
      <c r="A254" s="118" t="s">
        <v>472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20"/>
    </row>
    <row r="255" spans="1:11" ht="17" hidden="1" customHeight="1" outlineLevel="1" thickBot="1">
      <c r="A255" s="121" t="s">
        <v>123</v>
      </c>
      <c r="B255" s="123" t="s">
        <v>122</v>
      </c>
      <c r="C255" s="121" t="s">
        <v>117</v>
      </c>
      <c r="D255" s="125" t="s">
        <v>124</v>
      </c>
      <c r="E255" s="126"/>
      <c r="F255" s="126"/>
      <c r="G255" s="127"/>
      <c r="H255" s="125" t="s">
        <v>283</v>
      </c>
      <c r="I255" s="127"/>
      <c r="J255" s="121" t="s">
        <v>126</v>
      </c>
      <c r="K255" s="121" t="s">
        <v>130</v>
      </c>
    </row>
    <row r="256" spans="1:11" ht="17" hidden="1" outlineLevel="1" thickBot="1">
      <c r="A256" s="122"/>
      <c r="B256" s="124"/>
      <c r="C256" s="122"/>
      <c r="D256" s="125" t="s">
        <v>483</v>
      </c>
      <c r="E256" s="126"/>
      <c r="F256" s="126"/>
      <c r="G256" s="127"/>
      <c r="H256" s="125" t="s">
        <v>154</v>
      </c>
      <c r="I256" s="127"/>
      <c r="J256" s="122"/>
      <c r="K256" s="122"/>
    </row>
    <row r="257" spans="1:11" ht="17" hidden="1" outlineLevel="1">
      <c r="A257" s="9" t="s">
        <v>476</v>
      </c>
      <c r="B257" s="79" t="s">
        <v>61</v>
      </c>
      <c r="C257" s="69" t="s">
        <v>471</v>
      </c>
      <c r="D257" s="132" t="str">
        <f>REPT(cash!D102,1)</f>
        <v>36800</v>
      </c>
      <c r="E257" s="133"/>
      <c r="F257" s="133"/>
      <c r="G257" s="134"/>
      <c r="H257" s="114" t="str">
        <f>REPT(cash!F102,1)</f>
        <v>1920</v>
      </c>
      <c r="I257" s="114"/>
      <c r="J257" s="12" t="s">
        <v>131</v>
      </c>
      <c r="K257" s="12" t="s">
        <v>132</v>
      </c>
    </row>
    <row r="258" spans="1:11" ht="17" hidden="1" outlineLevel="1">
      <c r="A258" s="9" t="s">
        <v>476</v>
      </c>
      <c r="B258" s="79" t="s">
        <v>66</v>
      </c>
      <c r="C258" s="69" t="s">
        <v>479</v>
      </c>
      <c r="D258" s="110" t="str">
        <f>REPT(cash!D103,1)</f>
        <v>86200</v>
      </c>
      <c r="E258" s="111"/>
      <c r="F258" s="111"/>
      <c r="G258" s="112"/>
      <c r="H258" s="113" t="str">
        <f>REPT(cash!F103,1)</f>
        <v>договорная</v>
      </c>
      <c r="I258" s="113"/>
      <c r="J258" s="12" t="s">
        <v>131</v>
      </c>
      <c r="K258" s="69" t="s">
        <v>132</v>
      </c>
    </row>
    <row r="259" spans="1:11" ht="17" hidden="1" outlineLevel="1">
      <c r="A259" s="9" t="s">
        <v>476</v>
      </c>
      <c r="B259" s="79" t="s">
        <v>480</v>
      </c>
      <c r="C259" s="69" t="s">
        <v>491</v>
      </c>
      <c r="D259" s="110" t="str">
        <f>REPT(cash!D104,1)</f>
        <v>146</v>
      </c>
      <c r="E259" s="111"/>
      <c r="F259" s="111"/>
      <c r="G259" s="112"/>
      <c r="H259" s="113" t="str">
        <f>REPT(cash!F104,1)</f>
        <v>договорная</v>
      </c>
      <c r="I259" s="113"/>
      <c r="J259" s="12" t="s">
        <v>131</v>
      </c>
      <c r="K259" s="12" t="s">
        <v>132</v>
      </c>
    </row>
    <row r="260" spans="1:11" ht="51" hidden="1" outlineLevel="1">
      <c r="A260" s="9" t="s">
        <v>476</v>
      </c>
      <c r="B260" s="79" t="s">
        <v>481</v>
      </c>
      <c r="C260" s="4" t="s">
        <v>490</v>
      </c>
      <c r="D260" s="110" t="str">
        <f>REPT(cash!D105,1)</f>
        <v>386</v>
      </c>
      <c r="E260" s="111"/>
      <c r="F260" s="111"/>
      <c r="G260" s="112"/>
      <c r="H260" s="113" t="str">
        <f>REPT(cash!F105,1)</f>
        <v>договорная</v>
      </c>
      <c r="I260" s="113"/>
      <c r="J260" s="12" t="s">
        <v>131</v>
      </c>
      <c r="K260" s="12" t="s">
        <v>132</v>
      </c>
    </row>
    <row r="261" spans="1:11" ht="17" hidden="1" outlineLevel="1">
      <c r="A261" s="9" t="s">
        <v>476</v>
      </c>
      <c r="B261" s="79" t="s">
        <v>477</v>
      </c>
      <c r="C261" s="69" t="s">
        <v>489</v>
      </c>
      <c r="D261" s="110" t="str">
        <f>REPT(cash!D106,1)</f>
        <v>128</v>
      </c>
      <c r="E261" s="111"/>
      <c r="F261" s="111"/>
      <c r="G261" s="112"/>
      <c r="H261" s="113" t="str">
        <f>REPT(cash!F106,1)</f>
        <v>договорная</v>
      </c>
      <c r="I261" s="113"/>
      <c r="J261" s="12" t="s">
        <v>131</v>
      </c>
      <c r="K261" s="12" t="s">
        <v>132</v>
      </c>
    </row>
    <row r="262" spans="1:11" ht="17" hidden="1" outlineLevel="1">
      <c r="A262" s="9" t="s">
        <v>476</v>
      </c>
      <c r="B262" s="79" t="s">
        <v>477</v>
      </c>
      <c r="C262" s="69" t="s">
        <v>488</v>
      </c>
      <c r="D262" s="110" t="str">
        <f>REPT(cash!D106,1)</f>
        <v>128</v>
      </c>
      <c r="E262" s="111"/>
      <c r="F262" s="111"/>
      <c r="G262" s="112"/>
      <c r="H262" s="113" t="str">
        <f>REPT(cash!F104,1)</f>
        <v>договорная</v>
      </c>
      <c r="I262" s="113"/>
      <c r="J262" s="12" t="s">
        <v>131</v>
      </c>
      <c r="K262" s="12" t="s">
        <v>132</v>
      </c>
    </row>
    <row r="263" spans="1:11" ht="17" hidden="1" outlineLevel="1">
      <c r="A263" s="9" t="s">
        <v>476</v>
      </c>
      <c r="B263" s="79" t="s">
        <v>477</v>
      </c>
      <c r="C263" s="69" t="s">
        <v>487</v>
      </c>
      <c r="D263" s="110" t="str">
        <f>REPT(cash!D106,1)</f>
        <v>128</v>
      </c>
      <c r="E263" s="111"/>
      <c r="F263" s="111"/>
      <c r="G263" s="112"/>
      <c r="H263" s="113" t="str">
        <f>REPT(cash!F105,1)</f>
        <v>договорная</v>
      </c>
      <c r="I263" s="113"/>
      <c r="J263" s="12" t="s">
        <v>131</v>
      </c>
      <c r="K263" s="12" t="s">
        <v>132</v>
      </c>
    </row>
    <row r="264" spans="1:11" ht="17" hidden="1" outlineLevel="1">
      <c r="A264" s="9" t="s">
        <v>476</v>
      </c>
      <c r="B264" s="79" t="s">
        <v>477</v>
      </c>
      <c r="C264" s="69" t="s">
        <v>486</v>
      </c>
      <c r="D264" s="110" t="str">
        <f>REPT(cash!D106,1)</f>
        <v>128</v>
      </c>
      <c r="E264" s="111"/>
      <c r="F264" s="111"/>
      <c r="G264" s="112"/>
      <c r="H264" s="113" t="str">
        <f>REPT(cash!F107,1)</f>
        <v>договорная</v>
      </c>
      <c r="I264" s="113"/>
      <c r="J264" s="12" t="s">
        <v>131</v>
      </c>
      <c r="K264" s="12" t="s">
        <v>132</v>
      </c>
    </row>
    <row r="265" spans="1:11" ht="17" hidden="1" outlineLevel="1">
      <c r="A265" s="9" t="s">
        <v>476</v>
      </c>
      <c r="B265" s="79" t="s">
        <v>477</v>
      </c>
      <c r="C265" s="69" t="s">
        <v>485</v>
      </c>
      <c r="D265" s="110" t="str">
        <f>REPT(cash!D106,1)</f>
        <v>128</v>
      </c>
      <c r="E265" s="111"/>
      <c r="F265" s="111"/>
      <c r="G265" s="112"/>
      <c r="H265" s="113" t="str">
        <f>REPT(cash!F103,1)</f>
        <v>договорная</v>
      </c>
      <c r="I265" s="113"/>
      <c r="J265" s="12" t="s">
        <v>131</v>
      </c>
      <c r="K265" s="12" t="s">
        <v>132</v>
      </c>
    </row>
    <row r="266" spans="1:11" ht="17" hidden="1" outlineLevel="1">
      <c r="A266" s="9" t="s">
        <v>476</v>
      </c>
      <c r="B266" s="79" t="s">
        <v>477</v>
      </c>
      <c r="C266" s="69" t="s">
        <v>484</v>
      </c>
      <c r="D266" s="110" t="str">
        <f>REPT(cash!D106,1)</f>
        <v>128</v>
      </c>
      <c r="E266" s="111"/>
      <c r="F266" s="111"/>
      <c r="G266" s="112"/>
      <c r="H266" s="113" t="str">
        <f>REPT(cash!F104,1)</f>
        <v>договорная</v>
      </c>
      <c r="I266" s="113"/>
      <c r="J266" s="12" t="s">
        <v>131</v>
      </c>
      <c r="K266" s="12" t="s">
        <v>132</v>
      </c>
    </row>
    <row r="267" spans="1:11" ht="17" hidden="1" outlineLevel="1">
      <c r="A267" s="9" t="s">
        <v>476</v>
      </c>
      <c r="B267" s="79" t="s">
        <v>65</v>
      </c>
      <c r="C267" s="88" t="s">
        <v>474</v>
      </c>
      <c r="D267" s="110" t="str">
        <f>REPT(cash!D107,1)</f>
        <v>780</v>
      </c>
      <c r="E267" s="111"/>
      <c r="F267" s="111"/>
      <c r="G267" s="112"/>
      <c r="H267" s="113" t="str">
        <f>REPT(cash!F105,1)</f>
        <v>договорная</v>
      </c>
      <c r="I267" s="113"/>
      <c r="J267" s="69" t="s">
        <v>131</v>
      </c>
      <c r="K267" s="69" t="s">
        <v>132</v>
      </c>
    </row>
    <row r="268" spans="1:11" ht="17" collapsed="1" thickBot="1">
      <c r="A268" s="115" t="s">
        <v>292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7"/>
    </row>
    <row r="269" spans="1:11" ht="17" thickBot="1">
      <c r="A269" s="118" t="s">
        <v>492</v>
      </c>
      <c r="B269" s="119"/>
      <c r="C269" s="119"/>
      <c r="D269" s="119"/>
      <c r="E269" s="119"/>
      <c r="F269" s="119"/>
      <c r="G269" s="119"/>
      <c r="H269" s="119"/>
      <c r="I269" s="119"/>
      <c r="J269" s="119"/>
      <c r="K269" s="120"/>
    </row>
    <row r="270" spans="1:11" ht="17" hidden="1" outlineLevel="1" thickBot="1">
      <c r="A270" s="121" t="s">
        <v>123</v>
      </c>
      <c r="B270" s="123" t="s">
        <v>122</v>
      </c>
      <c r="C270" s="121" t="s">
        <v>117</v>
      </c>
      <c r="D270" s="125" t="s">
        <v>124</v>
      </c>
      <c r="E270" s="126"/>
      <c r="F270" s="126"/>
      <c r="G270" s="127"/>
      <c r="H270" s="125" t="s">
        <v>283</v>
      </c>
      <c r="I270" s="127"/>
      <c r="J270" s="121" t="s">
        <v>126</v>
      </c>
      <c r="K270" s="121" t="s">
        <v>130</v>
      </c>
    </row>
    <row r="271" spans="1:11" ht="17" hidden="1" outlineLevel="1" thickBot="1">
      <c r="A271" s="122"/>
      <c r="B271" s="124"/>
      <c r="C271" s="122"/>
      <c r="D271" s="125" t="s">
        <v>153</v>
      </c>
      <c r="E271" s="126"/>
      <c r="F271" s="126"/>
      <c r="G271" s="127"/>
      <c r="H271" s="125" t="s">
        <v>153</v>
      </c>
      <c r="I271" s="127"/>
      <c r="J271" s="122"/>
      <c r="K271" s="122"/>
    </row>
    <row r="272" spans="1:11" ht="17" hidden="1" outlineLevel="1">
      <c r="A272" s="9" t="s">
        <v>496</v>
      </c>
      <c r="B272" s="4" t="s">
        <v>493</v>
      </c>
      <c r="C272" s="69" t="s">
        <v>497</v>
      </c>
      <c r="D272" s="114" t="str">
        <f>REPT(cash!D109,1)</f>
        <v>48000</v>
      </c>
      <c r="E272" s="114"/>
      <c r="F272" s="114"/>
      <c r="G272" s="114"/>
      <c r="H272" s="114" t="str">
        <f>REPT(cash!F109,1)</f>
        <v>договорная</v>
      </c>
      <c r="I272" s="114"/>
      <c r="J272" s="12" t="s">
        <v>131</v>
      </c>
      <c r="K272" s="12" t="s">
        <v>132</v>
      </c>
    </row>
    <row r="273" spans="1:11" ht="17" hidden="1" outlineLevel="1">
      <c r="A273" s="9" t="s">
        <v>496</v>
      </c>
      <c r="B273" s="4" t="s">
        <v>495</v>
      </c>
      <c r="C273" s="69" t="s">
        <v>497</v>
      </c>
      <c r="D273" s="113" t="str">
        <f>REPT(cash!D109,1)</f>
        <v>48000</v>
      </c>
      <c r="E273" s="113"/>
      <c r="F273" s="113"/>
      <c r="G273" s="113"/>
      <c r="H273" s="113" t="str">
        <f>REPT(cash!F109,1)</f>
        <v>договорная</v>
      </c>
      <c r="I273" s="113"/>
      <c r="J273" s="12" t="s">
        <v>131</v>
      </c>
      <c r="K273" s="12" t="s">
        <v>132</v>
      </c>
    </row>
    <row r="274" spans="1:11" ht="17" hidden="1" outlineLevel="1">
      <c r="A274" s="9" t="s">
        <v>496</v>
      </c>
      <c r="B274" s="4" t="s">
        <v>494</v>
      </c>
      <c r="C274" s="69" t="s">
        <v>497</v>
      </c>
      <c r="D274" s="113" t="str">
        <f>REPT(cash!D110,1)</f>
        <v>48000</v>
      </c>
      <c r="E274" s="113"/>
      <c r="F274" s="113"/>
      <c r="G274" s="113"/>
      <c r="H274" s="113" t="str">
        <f>REPT(cash!F110,1)</f>
        <v>договорная</v>
      </c>
      <c r="I274" s="113"/>
      <c r="J274" s="12" t="s">
        <v>131</v>
      </c>
      <c r="K274" s="12" t="s">
        <v>132</v>
      </c>
    </row>
    <row r="275" spans="1:11" ht="17" collapsed="1" thickBot="1">
      <c r="A275" s="115" t="s">
        <v>292</v>
      </c>
      <c r="B275" s="116"/>
      <c r="C275" s="116"/>
      <c r="D275" s="116"/>
      <c r="E275" s="116"/>
      <c r="F275" s="116"/>
      <c r="G275" s="116"/>
      <c r="H275" s="116"/>
      <c r="I275" s="116"/>
      <c r="J275" s="116"/>
      <c r="K275" s="117"/>
    </row>
    <row r="276" spans="1:11" ht="17" thickBot="1">
      <c r="A276" s="118" t="s">
        <v>498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20"/>
    </row>
    <row r="277" spans="1:11" ht="17" hidden="1" outlineLevel="1" thickBot="1">
      <c r="A277" s="121" t="s">
        <v>123</v>
      </c>
      <c r="B277" s="123" t="s">
        <v>122</v>
      </c>
      <c r="C277" s="121" t="s">
        <v>117</v>
      </c>
      <c r="D277" s="125" t="s">
        <v>124</v>
      </c>
      <c r="E277" s="126"/>
      <c r="F277" s="126"/>
      <c r="G277" s="127"/>
      <c r="H277" s="128" t="s">
        <v>283</v>
      </c>
      <c r="I277" s="129"/>
      <c r="J277" s="121" t="s">
        <v>126</v>
      </c>
      <c r="K277" s="121" t="s">
        <v>130</v>
      </c>
    </row>
    <row r="278" spans="1:11" ht="17" hidden="1" outlineLevel="1" thickBot="1">
      <c r="A278" s="122"/>
      <c r="B278" s="124"/>
      <c r="C278" s="122"/>
      <c r="D278" s="125" t="s">
        <v>153</v>
      </c>
      <c r="E278" s="126"/>
      <c r="F278" s="126"/>
      <c r="G278" s="127"/>
      <c r="H278" s="130"/>
      <c r="I278" s="131"/>
      <c r="J278" s="122"/>
      <c r="K278" s="122"/>
    </row>
    <row r="279" spans="1:11" ht="17" hidden="1" outlineLevel="1">
      <c r="A279" s="9" t="s">
        <v>499</v>
      </c>
      <c r="B279" s="4" t="s">
        <v>504</v>
      </c>
      <c r="C279" s="69" t="s">
        <v>470</v>
      </c>
      <c r="D279" s="114" t="str">
        <f>REPT(cash!D112,1)</f>
        <v>24000</v>
      </c>
      <c r="E279" s="114"/>
      <c r="F279" s="114"/>
      <c r="G279" s="114"/>
      <c r="H279" s="114" t="str">
        <f>REPT(cash!F112,1)</f>
        <v>договорная</v>
      </c>
      <c r="I279" s="114"/>
      <c r="J279" s="69" t="s">
        <v>131</v>
      </c>
      <c r="K279" s="69" t="s">
        <v>132</v>
      </c>
    </row>
    <row r="280" spans="1:11" ht="17" hidden="1" outlineLevel="1">
      <c r="A280" s="9" t="s">
        <v>500</v>
      </c>
      <c r="B280" s="4" t="s">
        <v>501</v>
      </c>
      <c r="C280" s="69" t="s">
        <v>471</v>
      </c>
      <c r="D280" s="113" t="str">
        <f>REPT(cash!D113,1)</f>
        <v>8200</v>
      </c>
      <c r="E280" s="113"/>
      <c r="F280" s="113"/>
      <c r="G280" s="113"/>
      <c r="H280" s="113" t="str">
        <f>REPT(cash!F113,1)</f>
        <v>420 руб.меш.</v>
      </c>
      <c r="I280" s="113"/>
      <c r="J280" s="69" t="s">
        <v>131</v>
      </c>
      <c r="K280" s="69" t="s">
        <v>132</v>
      </c>
    </row>
    <row r="281" spans="1:11" ht="17" hidden="1" outlineLevel="1">
      <c r="A281" s="9" t="s">
        <v>500</v>
      </c>
      <c r="B281" s="4" t="s">
        <v>502</v>
      </c>
      <c r="C281" s="69" t="s">
        <v>471</v>
      </c>
      <c r="D281" s="110" t="str">
        <f>REPT(cash!D113,1)</f>
        <v>8200</v>
      </c>
      <c r="E281" s="111"/>
      <c r="F281" s="111"/>
      <c r="G281" s="112"/>
      <c r="H281" s="110" t="str">
        <f>REPT(cash!F113,1)</f>
        <v>420 руб.меш.</v>
      </c>
      <c r="I281" s="112"/>
      <c r="J281" s="69" t="s">
        <v>131</v>
      </c>
      <c r="K281" s="69" t="s">
        <v>132</v>
      </c>
    </row>
    <row r="282" spans="1:11" ht="17" hidden="1" outlineLevel="1">
      <c r="A282" s="9" t="s">
        <v>500</v>
      </c>
      <c r="B282" s="4" t="s">
        <v>503</v>
      </c>
      <c r="C282" s="69" t="s">
        <v>467</v>
      </c>
      <c r="D282" s="110" t="str">
        <f>REPT(cash!D114,1)</f>
        <v>26200</v>
      </c>
      <c r="E282" s="111"/>
      <c r="F282" s="111"/>
      <c r="G282" s="112"/>
      <c r="H282" s="110" t="str">
        <f>REPT(cash!F114,1)</f>
        <v>560руб.меш.</v>
      </c>
      <c r="I282" s="112"/>
      <c r="J282" s="69" t="s">
        <v>131</v>
      </c>
      <c r="K282" s="69" t="s">
        <v>132</v>
      </c>
    </row>
    <row r="283" spans="1:11" ht="17" hidden="1" outlineLevel="1">
      <c r="A283" s="9" t="s">
        <v>73</v>
      </c>
      <c r="B283" s="4" t="s">
        <v>505</v>
      </c>
      <c r="C283" s="69" t="s">
        <v>471</v>
      </c>
      <c r="D283" s="110" t="str">
        <f>REPT(cash!D115,1)</f>
        <v>8600</v>
      </c>
      <c r="E283" s="111"/>
      <c r="F283" s="111"/>
      <c r="G283" s="112"/>
      <c r="H283" s="110" t="str">
        <f>REPT(cash!F115,1)</f>
        <v>450 р. меш</v>
      </c>
      <c r="I283" s="112"/>
      <c r="J283" s="69" t="s">
        <v>131</v>
      </c>
      <c r="K283" s="69" t="s">
        <v>132</v>
      </c>
    </row>
    <row r="284" spans="1:11" ht="34" hidden="1" outlineLevel="1">
      <c r="A284" s="9" t="s">
        <v>506</v>
      </c>
      <c r="B284" s="4" t="s">
        <v>75</v>
      </c>
      <c r="C284" s="69" t="s">
        <v>471</v>
      </c>
      <c r="D284" s="110" t="str">
        <f>REPT(cash!D116,1)</f>
        <v>13600</v>
      </c>
      <c r="E284" s="111"/>
      <c r="F284" s="111"/>
      <c r="G284" s="112"/>
      <c r="H284" s="110" t="str">
        <f>REPT(cash!F116,1)</f>
        <v>720руб.меш.</v>
      </c>
      <c r="I284" s="112"/>
      <c r="J284" s="69" t="s">
        <v>131</v>
      </c>
      <c r="K284" s="69" t="s">
        <v>132</v>
      </c>
    </row>
    <row r="285" spans="1:11" ht="34" hidden="1" outlineLevel="1">
      <c r="A285" s="9" t="s">
        <v>531</v>
      </c>
      <c r="B285" s="4" t="s">
        <v>78</v>
      </c>
      <c r="C285" s="69" t="s">
        <v>513</v>
      </c>
      <c r="D285" s="110" t="str">
        <f>REPT(cash!D117,1)</f>
        <v>420 руб/кг</v>
      </c>
      <c r="E285" s="111"/>
      <c r="F285" s="111"/>
      <c r="G285" s="112"/>
      <c r="H285" s="110" t="str">
        <f>REPT(cash!F117,1)</f>
        <v>780руб./кг.</v>
      </c>
      <c r="I285" s="112"/>
      <c r="J285" s="69" t="s">
        <v>131</v>
      </c>
      <c r="K285" s="69" t="s">
        <v>132</v>
      </c>
    </row>
    <row r="286" spans="1:11" ht="34" hidden="1" outlineLevel="1">
      <c r="A286" s="9" t="s">
        <v>531</v>
      </c>
      <c r="B286" s="4" t="s">
        <v>79</v>
      </c>
      <c r="C286" s="69" t="s">
        <v>513</v>
      </c>
      <c r="D286" s="110" t="str">
        <f>REPT(cash!D118,1)</f>
        <v>420 руб/кг</v>
      </c>
      <c r="E286" s="111"/>
      <c r="F286" s="111"/>
      <c r="G286" s="112"/>
      <c r="H286" s="110" t="str">
        <f>REPT(cash!F118,1)</f>
        <v>780руб./кг.</v>
      </c>
      <c r="I286" s="112"/>
      <c r="J286" s="69" t="s">
        <v>131</v>
      </c>
      <c r="K286" s="69" t="s">
        <v>132</v>
      </c>
    </row>
    <row r="287" spans="1:11" ht="17" hidden="1" outlineLevel="1">
      <c r="A287" s="9" t="s">
        <v>532</v>
      </c>
      <c r="B287" s="4" t="s">
        <v>80</v>
      </c>
      <c r="C287" s="69" t="s">
        <v>514</v>
      </c>
      <c r="D287" s="110" t="str">
        <f>REPT(cash!D119,1)</f>
        <v xml:space="preserve">920 руб  </v>
      </c>
      <c r="E287" s="111"/>
      <c r="F287" s="111"/>
      <c r="G287" s="112"/>
      <c r="H287" s="110" t="str">
        <f>REPT(cash!F119,1)</f>
        <v>договорная</v>
      </c>
      <c r="I287" s="112"/>
      <c r="J287" s="69" t="s">
        <v>131</v>
      </c>
      <c r="K287" s="69" t="s">
        <v>132</v>
      </c>
    </row>
    <row r="288" spans="1:11" ht="17" hidden="1" outlineLevel="1">
      <c r="A288" s="9" t="s">
        <v>507</v>
      </c>
      <c r="B288" s="4" t="s">
        <v>106</v>
      </c>
      <c r="C288" s="69" t="s">
        <v>515</v>
      </c>
      <c r="D288" s="110" t="str">
        <f>REPT(cash!D120,1)</f>
        <v>3800 руб./уп</v>
      </c>
      <c r="E288" s="111"/>
      <c r="F288" s="111"/>
      <c r="G288" s="112"/>
      <c r="H288" s="110" t="str">
        <f>REPT(cash!F120,1)</f>
        <v>договорная</v>
      </c>
      <c r="I288" s="112"/>
      <c r="J288" s="69" t="s">
        <v>131</v>
      </c>
      <c r="K288" s="69" t="s">
        <v>132</v>
      </c>
    </row>
    <row r="289" spans="1:11" ht="17" hidden="1" outlineLevel="1">
      <c r="A289" s="9" t="s">
        <v>507</v>
      </c>
      <c r="B289" s="4" t="s">
        <v>104</v>
      </c>
      <c r="C289" s="69" t="s">
        <v>516</v>
      </c>
      <c r="D289" s="110" t="str">
        <f>REPT(cash!D121,1)</f>
        <v>980 руб./кг</v>
      </c>
      <c r="E289" s="111"/>
      <c r="F289" s="111"/>
      <c r="G289" s="112"/>
      <c r="H289" s="110" t="str">
        <f>REPT(cash!F121,1)</f>
        <v>договорная</v>
      </c>
      <c r="I289" s="112"/>
      <c r="J289" s="69" t="s">
        <v>131</v>
      </c>
      <c r="K289" s="69" t="s">
        <v>132</v>
      </c>
    </row>
    <row r="290" spans="1:11" ht="34" hidden="1" outlineLevel="1">
      <c r="A290" s="9" t="s">
        <v>507</v>
      </c>
      <c r="B290" s="4" t="s">
        <v>109</v>
      </c>
      <c r="C290" s="69" t="s">
        <v>517</v>
      </c>
      <c r="D290" s="110" t="str">
        <f>REPT(cash!D122,1)</f>
        <v>3800 руб./уп</v>
      </c>
      <c r="E290" s="111"/>
      <c r="F290" s="111"/>
      <c r="G290" s="112"/>
      <c r="H290" s="110" t="str">
        <f>REPT(cash!F122,1)</f>
        <v>договорная</v>
      </c>
      <c r="I290" s="112"/>
      <c r="J290" s="69" t="s">
        <v>131</v>
      </c>
      <c r="K290" s="69" t="s">
        <v>132</v>
      </c>
    </row>
    <row r="291" spans="1:11" ht="34" hidden="1" outlineLevel="1">
      <c r="A291" s="9" t="s">
        <v>507</v>
      </c>
      <c r="B291" s="4" t="s">
        <v>508</v>
      </c>
      <c r="C291" s="69" t="s">
        <v>518</v>
      </c>
      <c r="D291" s="110" t="str">
        <f>REPT(cash!D123,1)</f>
        <v>1200 руб./кг.</v>
      </c>
      <c r="E291" s="111"/>
      <c r="F291" s="111"/>
      <c r="G291" s="112"/>
      <c r="H291" s="110" t="str">
        <f>REPT(cash!F123,1)</f>
        <v>договорная</v>
      </c>
      <c r="I291" s="112"/>
      <c r="J291" s="69" t="s">
        <v>131</v>
      </c>
      <c r="K291" s="69" t="s">
        <v>132</v>
      </c>
    </row>
    <row r="292" spans="1:11" ht="34" hidden="1" outlineLevel="1">
      <c r="A292" s="9" t="s">
        <v>507</v>
      </c>
      <c r="B292" s="4" t="s">
        <v>111</v>
      </c>
      <c r="C292" s="69" t="s">
        <v>519</v>
      </c>
      <c r="D292" s="110" t="str">
        <f>REPT(cash!D124,1)</f>
        <v>2650 руб./уп</v>
      </c>
      <c r="E292" s="111"/>
      <c r="F292" s="111"/>
      <c r="G292" s="112"/>
      <c r="H292" s="110" t="str">
        <f>REPT(cash!F124,1)</f>
        <v>договорная</v>
      </c>
      <c r="I292" s="112"/>
      <c r="J292" s="69" t="s">
        <v>131</v>
      </c>
      <c r="K292" s="69" t="s">
        <v>132</v>
      </c>
    </row>
    <row r="293" spans="1:11" ht="17" hidden="1" outlineLevel="1">
      <c r="A293" s="9" t="s">
        <v>530</v>
      </c>
      <c r="B293" s="92" t="s">
        <v>87</v>
      </c>
      <c r="C293" s="69" t="s">
        <v>154</v>
      </c>
      <c r="D293" s="110" t="str">
        <f>REPT(cash!D125,1)</f>
        <v>32 руб/шт.</v>
      </c>
      <c r="E293" s="111"/>
      <c r="F293" s="111"/>
      <c r="G293" s="112"/>
      <c r="H293" s="110" t="str">
        <f>REPT(cash!F125,1)</f>
        <v>договорная</v>
      </c>
      <c r="I293" s="112"/>
      <c r="J293" s="69" t="s">
        <v>131</v>
      </c>
      <c r="K293" s="69" t="s">
        <v>132</v>
      </c>
    </row>
    <row r="294" spans="1:11" ht="17" hidden="1" outlineLevel="1">
      <c r="A294" s="9" t="s">
        <v>528</v>
      </c>
      <c r="B294" s="4" t="s">
        <v>88</v>
      </c>
      <c r="C294" s="69" t="s">
        <v>520</v>
      </c>
      <c r="D294" s="110" t="str">
        <f>REPT(cash!D126,1)</f>
        <v>198 руб/м2</v>
      </c>
      <c r="E294" s="111"/>
      <c r="F294" s="111"/>
      <c r="G294" s="112"/>
      <c r="H294" s="110" t="str">
        <f>REPT(cash!F126,1)</f>
        <v>договорная</v>
      </c>
      <c r="I294" s="112"/>
      <c r="J294" s="69" t="s">
        <v>131</v>
      </c>
      <c r="K294" s="69" t="s">
        <v>132</v>
      </c>
    </row>
    <row r="295" spans="1:11" ht="17" hidden="1" outlineLevel="1">
      <c r="A295" s="9" t="s">
        <v>521</v>
      </c>
      <c r="B295" s="4" t="s">
        <v>521</v>
      </c>
      <c r="C295" s="69" t="s">
        <v>522</v>
      </c>
      <c r="D295" s="110" t="str">
        <f>REPT(cash!D127,1)</f>
        <v>78 руб/м2</v>
      </c>
      <c r="E295" s="111"/>
      <c r="F295" s="111"/>
      <c r="G295" s="112"/>
      <c r="H295" s="110" t="str">
        <f>REPT(cash!F127,1)</f>
        <v>договорная</v>
      </c>
      <c r="I295" s="112"/>
      <c r="J295" s="69" t="s">
        <v>131</v>
      </c>
      <c r="K295" s="69" t="s">
        <v>132</v>
      </c>
    </row>
    <row r="296" spans="1:11" ht="34" hidden="1" outlineLevel="1">
      <c r="A296" s="9" t="s">
        <v>529</v>
      </c>
      <c r="B296" s="4" t="s">
        <v>77</v>
      </c>
      <c r="C296" s="69" t="s">
        <v>411</v>
      </c>
      <c r="D296" s="110" t="str">
        <f>REPT(cash!D128,1)</f>
        <v>380 руб/кг</v>
      </c>
      <c r="E296" s="111"/>
      <c r="F296" s="111"/>
      <c r="G296" s="112"/>
      <c r="H296" s="110" t="str">
        <f>REPT(cash!F128,1)</f>
        <v>договорная</v>
      </c>
      <c r="I296" s="112"/>
      <c r="J296" s="69" t="s">
        <v>131</v>
      </c>
      <c r="K296" s="69" t="s">
        <v>132</v>
      </c>
    </row>
    <row r="297" spans="1:11" ht="17" hidden="1" outlineLevel="1">
      <c r="A297" s="9" t="s">
        <v>99</v>
      </c>
      <c r="B297" s="4" t="s">
        <v>99</v>
      </c>
      <c r="C297" s="69" t="s">
        <v>523</v>
      </c>
      <c r="D297" s="110" t="str">
        <f>REPT(cash!D129,1)</f>
        <v>3200 руб/уп</v>
      </c>
      <c r="E297" s="111"/>
      <c r="F297" s="111"/>
      <c r="G297" s="112"/>
      <c r="H297" s="110" t="str">
        <f>REPT(cash!F129,1)</f>
        <v>договорная</v>
      </c>
      <c r="I297" s="112"/>
      <c r="J297" s="69" t="s">
        <v>131</v>
      </c>
      <c r="K297" s="69" t="s">
        <v>132</v>
      </c>
    </row>
    <row r="298" spans="1:11" ht="17" hidden="1" outlineLevel="1">
      <c r="A298" s="9" t="s">
        <v>509</v>
      </c>
      <c r="B298" s="4" t="s">
        <v>510</v>
      </c>
      <c r="C298" s="69" t="s">
        <v>153</v>
      </c>
      <c r="D298" s="110" t="str">
        <f>REPT(cash!D130,1)</f>
        <v>35000 руб/тн</v>
      </c>
      <c r="E298" s="111"/>
      <c r="F298" s="111"/>
      <c r="G298" s="112"/>
      <c r="H298" s="110" t="str">
        <f>REPT(cash!F130,1)</f>
        <v>договорная</v>
      </c>
      <c r="I298" s="112"/>
      <c r="J298" s="69" t="s">
        <v>131</v>
      </c>
      <c r="K298" s="69" t="s">
        <v>132</v>
      </c>
    </row>
    <row r="299" spans="1:11" ht="17" hidden="1" outlineLevel="1">
      <c r="A299" s="9" t="s">
        <v>509</v>
      </c>
      <c r="B299" s="4" t="s">
        <v>511</v>
      </c>
      <c r="C299" s="69" t="s">
        <v>153</v>
      </c>
      <c r="D299" s="110" t="str">
        <f>REPT(cash!D130,1)</f>
        <v>35000 руб/тн</v>
      </c>
      <c r="E299" s="111"/>
      <c r="F299" s="111"/>
      <c r="G299" s="112"/>
      <c r="H299" s="110" t="str">
        <f>REPT(cash!F130,1)</f>
        <v>договорная</v>
      </c>
      <c r="I299" s="112"/>
      <c r="J299" s="69" t="s">
        <v>131</v>
      </c>
      <c r="K299" s="69" t="s">
        <v>132</v>
      </c>
    </row>
    <row r="300" spans="1:11" ht="17" hidden="1" outlineLevel="1">
      <c r="A300" s="9" t="s">
        <v>509</v>
      </c>
      <c r="B300" s="4" t="s">
        <v>512</v>
      </c>
      <c r="C300" s="69" t="s">
        <v>153</v>
      </c>
      <c r="D300" s="110" t="str">
        <f>REPT(cash!D130,1)</f>
        <v>35000 руб/тн</v>
      </c>
      <c r="E300" s="111"/>
      <c r="F300" s="111"/>
      <c r="G300" s="112"/>
      <c r="H300" s="110" t="str">
        <f>REPT(cash!F130,1)</f>
        <v>договорная</v>
      </c>
      <c r="I300" s="112"/>
      <c r="J300" s="69" t="s">
        <v>131</v>
      </c>
      <c r="K300" s="69" t="s">
        <v>132</v>
      </c>
    </row>
    <row r="301" spans="1:11" ht="34" hidden="1" outlineLevel="1">
      <c r="A301" s="9" t="s">
        <v>525</v>
      </c>
      <c r="B301" s="4" t="s">
        <v>82</v>
      </c>
      <c r="C301" s="69" t="s">
        <v>524</v>
      </c>
      <c r="D301" s="110" t="str">
        <f>REPT(cash!D131,1)</f>
        <v>договорная</v>
      </c>
      <c r="E301" s="111"/>
      <c r="F301" s="111"/>
      <c r="G301" s="112"/>
      <c r="H301" s="110" t="str">
        <f>REPT(cash!F131,1)</f>
        <v>договорная</v>
      </c>
      <c r="I301" s="112"/>
      <c r="J301" s="69" t="s">
        <v>131</v>
      </c>
      <c r="K301" s="69" t="s">
        <v>132</v>
      </c>
    </row>
    <row r="302" spans="1:11" ht="34" hidden="1" outlineLevel="1">
      <c r="A302" s="9" t="s">
        <v>525</v>
      </c>
      <c r="B302" s="4" t="s">
        <v>83</v>
      </c>
      <c r="C302" s="69" t="s">
        <v>524</v>
      </c>
      <c r="D302" s="110" t="str">
        <f>REPT(cash!D132,1)</f>
        <v>договорная</v>
      </c>
      <c r="E302" s="111"/>
      <c r="F302" s="111"/>
      <c r="G302" s="112"/>
      <c r="H302" s="110" t="str">
        <f>REPT(cash!F132,1)</f>
        <v>договорная</v>
      </c>
      <c r="I302" s="112"/>
      <c r="J302" s="69" t="s">
        <v>131</v>
      </c>
      <c r="K302" s="69" t="s">
        <v>132</v>
      </c>
    </row>
    <row r="303" spans="1:11" ht="17" hidden="1" outlineLevel="1">
      <c r="A303" s="7" t="s">
        <v>84</v>
      </c>
      <c r="B303" s="4" t="s">
        <v>84</v>
      </c>
      <c r="C303" s="69" t="s">
        <v>524</v>
      </c>
      <c r="D303" s="110" t="str">
        <f>REPT(cash!D133,1)</f>
        <v>договорная</v>
      </c>
      <c r="E303" s="111"/>
      <c r="F303" s="111"/>
      <c r="G303" s="112"/>
      <c r="H303" s="110" t="str">
        <f>REPT(cash!F133,1)</f>
        <v>договорная</v>
      </c>
      <c r="I303" s="112"/>
      <c r="J303" s="69" t="s">
        <v>131</v>
      </c>
      <c r="K303" s="69" t="s">
        <v>132</v>
      </c>
    </row>
    <row r="304" spans="1:11" ht="34" hidden="1" outlineLevel="1">
      <c r="A304" s="9" t="s">
        <v>526</v>
      </c>
      <c r="B304" s="4" t="s">
        <v>85</v>
      </c>
      <c r="C304" s="69" t="s">
        <v>524</v>
      </c>
      <c r="D304" s="110" t="str">
        <f>REPT(cash!D134,1)</f>
        <v>договорная</v>
      </c>
      <c r="E304" s="111"/>
      <c r="F304" s="111"/>
      <c r="G304" s="112"/>
      <c r="H304" s="110" t="str">
        <f>REPT(cash!F134,1)</f>
        <v>договорная</v>
      </c>
      <c r="I304" s="112"/>
      <c r="J304" s="69" t="s">
        <v>131</v>
      </c>
      <c r="K304" s="69" t="s">
        <v>132</v>
      </c>
    </row>
    <row r="305" spans="1:11" ht="34" hidden="1" outlineLevel="1">
      <c r="A305" s="9" t="s">
        <v>527</v>
      </c>
      <c r="B305" s="4" t="s">
        <v>86</v>
      </c>
      <c r="C305" s="69" t="s">
        <v>154</v>
      </c>
      <c r="D305" s="110" t="str">
        <f>REPT(cash!D135,1)</f>
        <v>5800</v>
      </c>
      <c r="E305" s="111"/>
      <c r="F305" s="111"/>
      <c r="G305" s="112"/>
      <c r="H305" s="110" t="str">
        <f>REPT(cash!F135,1)</f>
        <v>договорная</v>
      </c>
      <c r="I305" s="112"/>
      <c r="J305" s="69" t="s">
        <v>131</v>
      </c>
      <c r="K305" s="69" t="s">
        <v>132</v>
      </c>
    </row>
    <row r="306" spans="1:11" ht="17" collapsed="1" thickBot="1">
      <c r="A306" s="115" t="s">
        <v>292</v>
      </c>
      <c r="B306" s="116"/>
      <c r="C306" s="116"/>
      <c r="D306" s="116"/>
      <c r="E306" s="116"/>
      <c r="F306" s="116"/>
      <c r="G306" s="116"/>
      <c r="H306" s="116"/>
      <c r="I306" s="116"/>
      <c r="J306" s="116"/>
      <c r="K306" s="117"/>
    </row>
  </sheetData>
  <sheetProtection formatCells="0" formatColumns="0" formatRows="0" insertColumns="0" insertRows="0" insertHyperlinks="0" deleteColumns="0" deleteRows="0" sort="0" autoFilter="0" pivotTables="0"/>
  <mergeCells count="516">
    <mergeCell ref="D85:G85"/>
    <mergeCell ref="D86:G86"/>
    <mergeCell ref="D87:G87"/>
    <mergeCell ref="H85:I85"/>
    <mergeCell ref="H86:I86"/>
    <mergeCell ref="H87:I87"/>
    <mergeCell ref="A306:K306"/>
    <mergeCell ref="D174:G174"/>
    <mergeCell ref="D175:G175"/>
    <mergeCell ref="D176:G176"/>
    <mergeCell ref="H174:I174"/>
    <mergeCell ref="H175:I175"/>
    <mergeCell ref="H176:I176"/>
    <mergeCell ref="D120:G120"/>
    <mergeCell ref="A207:K207"/>
    <mergeCell ref="A208:K208"/>
    <mergeCell ref="A209:A210"/>
    <mergeCell ref="B209:B210"/>
    <mergeCell ref="C209:C210"/>
    <mergeCell ref="D209:G209"/>
    <mergeCell ref="H209:I209"/>
    <mergeCell ref="J209:J210"/>
    <mergeCell ref="K209:K210"/>
    <mergeCell ref="D210:G210"/>
    <mergeCell ref="D77:E77"/>
    <mergeCell ref="D78:E78"/>
    <mergeCell ref="D79:E79"/>
    <mergeCell ref="D80:E80"/>
    <mergeCell ref="D81:E81"/>
    <mergeCell ref="D82:E82"/>
    <mergeCell ref="D83:E83"/>
    <mergeCell ref="D84:E84"/>
    <mergeCell ref="F78:G78"/>
    <mergeCell ref="F79:G79"/>
    <mergeCell ref="F80:G80"/>
    <mergeCell ref="F81:G81"/>
    <mergeCell ref="F82:G82"/>
    <mergeCell ref="F83:G83"/>
    <mergeCell ref="F84:G84"/>
    <mergeCell ref="H210:I210"/>
    <mergeCell ref="D206:G206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D201:G201"/>
    <mergeCell ref="D202:G202"/>
    <mergeCell ref="D203:G203"/>
    <mergeCell ref="D204:G204"/>
    <mergeCell ref="D205:G205"/>
    <mergeCell ref="D197:G197"/>
    <mergeCell ref="H197:I197"/>
    <mergeCell ref="D198:G198"/>
    <mergeCell ref="D199:G199"/>
    <mergeCell ref="D200:G200"/>
    <mergeCell ref="A193:K193"/>
    <mergeCell ref="A194:K194"/>
    <mergeCell ref="A195:A196"/>
    <mergeCell ref="B195:B196"/>
    <mergeCell ref="C195:C196"/>
    <mergeCell ref="J195:J196"/>
    <mergeCell ref="K195:K196"/>
    <mergeCell ref="D196:G196"/>
    <mergeCell ref="D195:G195"/>
    <mergeCell ref="H196:I196"/>
    <mergeCell ref="H195:I195"/>
    <mergeCell ref="H188:I188"/>
    <mergeCell ref="H189:I189"/>
    <mergeCell ref="H190:I190"/>
    <mergeCell ref="H191:I191"/>
    <mergeCell ref="H192:I192"/>
    <mergeCell ref="D188:G188"/>
    <mergeCell ref="D189:G189"/>
    <mergeCell ref="D190:G190"/>
    <mergeCell ref="D191:G191"/>
    <mergeCell ref="D192:G192"/>
    <mergeCell ref="D182:G182"/>
    <mergeCell ref="H182:I182"/>
    <mergeCell ref="D183:G183"/>
    <mergeCell ref="D184:G184"/>
    <mergeCell ref="D185:G185"/>
    <mergeCell ref="D186:G186"/>
    <mergeCell ref="D187:G187"/>
    <mergeCell ref="H183:I183"/>
    <mergeCell ref="H184:I184"/>
    <mergeCell ref="H185:I185"/>
    <mergeCell ref="H186:I186"/>
    <mergeCell ref="H187:I187"/>
    <mergeCell ref="J180:J181"/>
    <mergeCell ref="K180:K181"/>
    <mergeCell ref="A180:A181"/>
    <mergeCell ref="B180:B181"/>
    <mergeCell ref="C180:C181"/>
    <mergeCell ref="H173:I173"/>
    <mergeCell ref="H177:I177"/>
    <mergeCell ref="A178:K178"/>
    <mergeCell ref="A179:K179"/>
    <mergeCell ref="D177:G177"/>
    <mergeCell ref="D180:G181"/>
    <mergeCell ref="H180:I181"/>
    <mergeCell ref="H170:I170"/>
    <mergeCell ref="H171:I171"/>
    <mergeCell ref="H172:I172"/>
    <mergeCell ref="D169:G169"/>
    <mergeCell ref="D170:G170"/>
    <mergeCell ref="D171:G171"/>
    <mergeCell ref="D172:G172"/>
    <mergeCell ref="D173:G173"/>
    <mergeCell ref="D164:G164"/>
    <mergeCell ref="D165:G165"/>
    <mergeCell ref="D168:G168"/>
    <mergeCell ref="A166:K166"/>
    <mergeCell ref="A167:K167"/>
    <mergeCell ref="A168:A169"/>
    <mergeCell ref="B168:B169"/>
    <mergeCell ref="C168:C169"/>
    <mergeCell ref="J168:J169"/>
    <mergeCell ref="K168:K169"/>
    <mergeCell ref="H164:I164"/>
    <mergeCell ref="H165:I165"/>
    <mergeCell ref="H168:I168"/>
    <mergeCell ref="H169:I169"/>
    <mergeCell ref="D159:G159"/>
    <mergeCell ref="D160:G160"/>
    <mergeCell ref="D161:G161"/>
    <mergeCell ref="D162:G162"/>
    <mergeCell ref="D163:G163"/>
    <mergeCell ref="H155:I155"/>
    <mergeCell ref="H156:I156"/>
    <mergeCell ref="H157:I157"/>
    <mergeCell ref="D158:G158"/>
    <mergeCell ref="H158:I158"/>
    <mergeCell ref="D156:G156"/>
    <mergeCell ref="D157:G157"/>
    <mergeCell ref="D155:G155"/>
    <mergeCell ref="H159:I159"/>
    <mergeCell ref="H160:I160"/>
    <mergeCell ref="H161:I161"/>
    <mergeCell ref="H162:I162"/>
    <mergeCell ref="H163:I163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D151:G151"/>
    <mergeCell ref="D152:G152"/>
    <mergeCell ref="D153:G153"/>
    <mergeCell ref="D154:G154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D130:G130"/>
    <mergeCell ref="H124:I124"/>
    <mergeCell ref="H125:I125"/>
    <mergeCell ref="H126:I126"/>
    <mergeCell ref="H127:I127"/>
    <mergeCell ref="H128:I128"/>
    <mergeCell ref="H129:I129"/>
    <mergeCell ref="H130:I130"/>
    <mergeCell ref="D125:G125"/>
    <mergeCell ref="D126:G126"/>
    <mergeCell ref="D127:G127"/>
    <mergeCell ref="D128:G128"/>
    <mergeCell ref="D129:G129"/>
    <mergeCell ref="A121:K121"/>
    <mergeCell ref="A122:K122"/>
    <mergeCell ref="A123:A124"/>
    <mergeCell ref="B123:B124"/>
    <mergeCell ref="C123:C124"/>
    <mergeCell ref="D123:G123"/>
    <mergeCell ref="H123:I123"/>
    <mergeCell ref="J123:J124"/>
    <mergeCell ref="K123:K124"/>
    <mergeCell ref="D124:G124"/>
    <mergeCell ref="A98:K98"/>
    <mergeCell ref="A109:K109"/>
    <mergeCell ref="A110:K110"/>
    <mergeCell ref="A111:A112"/>
    <mergeCell ref="B111:B112"/>
    <mergeCell ref="C111:C112"/>
    <mergeCell ref="D111:G111"/>
    <mergeCell ref="H111:I111"/>
    <mergeCell ref="J111:J112"/>
    <mergeCell ref="K111:K112"/>
    <mergeCell ref="D112:E112"/>
    <mergeCell ref="F112:G112"/>
    <mergeCell ref="D100:G100"/>
    <mergeCell ref="H100:I100"/>
    <mergeCell ref="J100:J101"/>
    <mergeCell ref="K100:K101"/>
    <mergeCell ref="D101:E101"/>
    <mergeCell ref="F101:G101"/>
    <mergeCell ref="F108:G108"/>
    <mergeCell ref="D102:E102"/>
    <mergeCell ref="D104:E104"/>
    <mergeCell ref="D105:E105"/>
    <mergeCell ref="D106:E106"/>
    <mergeCell ref="D107:E107"/>
    <mergeCell ref="A89:K89"/>
    <mergeCell ref="A88:K88"/>
    <mergeCell ref="A99:K99"/>
    <mergeCell ref="A100:A101"/>
    <mergeCell ref="B100:B101"/>
    <mergeCell ref="C100:C101"/>
    <mergeCell ref="K14:K16"/>
    <mergeCell ref="A12:K12"/>
    <mergeCell ref="D15:E15"/>
    <mergeCell ref="A14:A16"/>
    <mergeCell ref="B14:B16"/>
    <mergeCell ref="C14:C16"/>
    <mergeCell ref="F15:G15"/>
    <mergeCell ref="D14:G14"/>
    <mergeCell ref="H14:I14"/>
    <mergeCell ref="J14:J16"/>
    <mergeCell ref="D95:E95"/>
    <mergeCell ref="D96:E96"/>
    <mergeCell ref="D97:E97"/>
    <mergeCell ref="F92:G92"/>
    <mergeCell ref="F93:G93"/>
    <mergeCell ref="F94:G94"/>
    <mergeCell ref="F95:G95"/>
    <mergeCell ref="F96:G96"/>
    <mergeCell ref="F97:G97"/>
    <mergeCell ref="D92:E92"/>
    <mergeCell ref="D93:E93"/>
    <mergeCell ref="D94:E94"/>
    <mergeCell ref="J90:J91"/>
    <mergeCell ref="K90:K91"/>
    <mergeCell ref="A90:A91"/>
    <mergeCell ref="B90:B91"/>
    <mergeCell ref="C90:C91"/>
    <mergeCell ref="H90:I90"/>
    <mergeCell ref="D91:E91"/>
    <mergeCell ref="F91:G91"/>
    <mergeCell ref="D90:G90"/>
    <mergeCell ref="D108:E108"/>
    <mergeCell ref="D103:E103"/>
    <mergeCell ref="F103:G103"/>
    <mergeCell ref="F102:G102"/>
    <mergeCell ref="F104:G104"/>
    <mergeCell ref="F105:G105"/>
    <mergeCell ref="F106:G106"/>
    <mergeCell ref="F107:G107"/>
    <mergeCell ref="D118:E118"/>
    <mergeCell ref="D119:E119"/>
    <mergeCell ref="F113:G113"/>
    <mergeCell ref="F114:G114"/>
    <mergeCell ref="F115:G115"/>
    <mergeCell ref="F116:G116"/>
    <mergeCell ref="F117:G117"/>
    <mergeCell ref="F118:G118"/>
    <mergeCell ref="F119:G119"/>
    <mergeCell ref="D113:E113"/>
    <mergeCell ref="D114:E114"/>
    <mergeCell ref="D115:E115"/>
    <mergeCell ref="D116:E116"/>
    <mergeCell ref="D117:E117"/>
    <mergeCell ref="F225:G225"/>
    <mergeCell ref="D211:G211"/>
    <mergeCell ref="D212:G212"/>
    <mergeCell ref="H212:I212"/>
    <mergeCell ref="H211:I211"/>
    <mergeCell ref="A213:K213"/>
    <mergeCell ref="A214:K214"/>
    <mergeCell ref="A215:A216"/>
    <mergeCell ref="B215:B216"/>
    <mergeCell ref="C215:C216"/>
    <mergeCell ref="D215:G215"/>
    <mergeCell ref="H215:I215"/>
    <mergeCell ref="J215:J216"/>
    <mergeCell ref="K215:K216"/>
    <mergeCell ref="D216:E216"/>
    <mergeCell ref="F216:G216"/>
    <mergeCell ref="D221:E221"/>
    <mergeCell ref="D222:E222"/>
    <mergeCell ref="D223:E223"/>
    <mergeCell ref="D224:E224"/>
    <mergeCell ref="D225:E225"/>
    <mergeCell ref="D227:E227"/>
    <mergeCell ref="D226:E226"/>
    <mergeCell ref="F221:G221"/>
    <mergeCell ref="F222:G222"/>
    <mergeCell ref="F223:G223"/>
    <mergeCell ref="F224:G224"/>
    <mergeCell ref="H218:I218"/>
    <mergeCell ref="H217:I217"/>
    <mergeCell ref="H219:I219"/>
    <mergeCell ref="H220:I220"/>
    <mergeCell ref="H221:I221"/>
    <mergeCell ref="H222:I222"/>
    <mergeCell ref="H223:I223"/>
    <mergeCell ref="H224:I224"/>
    <mergeCell ref="H225:I225"/>
    <mergeCell ref="F226:G226"/>
    <mergeCell ref="F227:G227"/>
    <mergeCell ref="H226:I226"/>
    <mergeCell ref="H227:I227"/>
    <mergeCell ref="D217:G217"/>
    <mergeCell ref="D218:G218"/>
    <mergeCell ref="D219:G219"/>
    <mergeCell ref="D220:G220"/>
    <mergeCell ref="A228:K228"/>
    <mergeCell ref="A229:K229"/>
    <mergeCell ref="A230:A231"/>
    <mergeCell ref="B230:B231"/>
    <mergeCell ref="C230:C231"/>
    <mergeCell ref="D230:G230"/>
    <mergeCell ref="H230:I230"/>
    <mergeCell ref="J230:J231"/>
    <mergeCell ref="K230:K231"/>
    <mergeCell ref="D231:E231"/>
    <mergeCell ref="F231:G231"/>
    <mergeCell ref="D232:G232"/>
    <mergeCell ref="D233:G233"/>
    <mergeCell ref="D234:G234"/>
    <mergeCell ref="D235:G235"/>
    <mergeCell ref="A238:K238"/>
    <mergeCell ref="D236:E236"/>
    <mergeCell ref="D237:E237"/>
    <mergeCell ref="F236:G236"/>
    <mergeCell ref="F237:G237"/>
    <mergeCell ref="A239:K239"/>
    <mergeCell ref="A240:A241"/>
    <mergeCell ref="B240:B241"/>
    <mergeCell ref="C240:C241"/>
    <mergeCell ref="D240:G240"/>
    <mergeCell ref="H240:I240"/>
    <mergeCell ref="J240:J241"/>
    <mergeCell ref="K240:K241"/>
    <mergeCell ref="H234:I234"/>
    <mergeCell ref="H235:I235"/>
    <mergeCell ref="H236:I236"/>
    <mergeCell ref="H237:I237"/>
    <mergeCell ref="D242:G242"/>
    <mergeCell ref="D243:G243"/>
    <mergeCell ref="D244:G244"/>
    <mergeCell ref="D245:G245"/>
    <mergeCell ref="D246:G246"/>
    <mergeCell ref="H241:I241"/>
    <mergeCell ref="H242:I242"/>
    <mergeCell ref="H243:I243"/>
    <mergeCell ref="H244:I244"/>
    <mergeCell ref="H245:I245"/>
    <mergeCell ref="H246:I246"/>
    <mergeCell ref="D241:G241"/>
    <mergeCell ref="A247:K247"/>
    <mergeCell ref="A248:K248"/>
    <mergeCell ref="A249:A250"/>
    <mergeCell ref="B249:B250"/>
    <mergeCell ref="C249:C250"/>
    <mergeCell ref="D249:G249"/>
    <mergeCell ref="H249:I249"/>
    <mergeCell ref="J249:J250"/>
    <mergeCell ref="K249:K250"/>
    <mergeCell ref="H250:I250"/>
    <mergeCell ref="D250:G250"/>
    <mergeCell ref="D251:G251"/>
    <mergeCell ref="D252:G252"/>
    <mergeCell ref="H251:I251"/>
    <mergeCell ref="H252:I252"/>
    <mergeCell ref="A253:K253"/>
    <mergeCell ref="A254:K254"/>
    <mergeCell ref="A255:A256"/>
    <mergeCell ref="B255:B256"/>
    <mergeCell ref="C255:C256"/>
    <mergeCell ref="D255:G255"/>
    <mergeCell ref="H255:I255"/>
    <mergeCell ref="J255:J256"/>
    <mergeCell ref="K255:K256"/>
    <mergeCell ref="H267:I267"/>
    <mergeCell ref="D267:G267"/>
    <mergeCell ref="D256:G256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H258:I258"/>
    <mergeCell ref="H259:I259"/>
    <mergeCell ref="H260:I260"/>
    <mergeCell ref="H266:I266"/>
    <mergeCell ref="D258:G258"/>
    <mergeCell ref="H257:I257"/>
    <mergeCell ref="H256:I256"/>
    <mergeCell ref="H261:I261"/>
    <mergeCell ref="H262:I262"/>
    <mergeCell ref="H263:I263"/>
    <mergeCell ref="H264:I264"/>
    <mergeCell ref="H265:I265"/>
    <mergeCell ref="D257:G257"/>
    <mergeCell ref="A268:K268"/>
    <mergeCell ref="A269:K269"/>
    <mergeCell ref="A270:A271"/>
    <mergeCell ref="B270:B271"/>
    <mergeCell ref="C270:C271"/>
    <mergeCell ref="D270:G270"/>
    <mergeCell ref="H270:I270"/>
    <mergeCell ref="J270:J271"/>
    <mergeCell ref="K270:K271"/>
    <mergeCell ref="D271:G271"/>
    <mergeCell ref="H271:I271"/>
    <mergeCell ref="D272:G272"/>
    <mergeCell ref="H272:I272"/>
    <mergeCell ref="D273:G273"/>
    <mergeCell ref="D274:G274"/>
    <mergeCell ref="H273:I273"/>
    <mergeCell ref="H274:I274"/>
    <mergeCell ref="A275:K275"/>
    <mergeCell ref="A276:K276"/>
    <mergeCell ref="A277:A278"/>
    <mergeCell ref="B277:B278"/>
    <mergeCell ref="C277:C278"/>
    <mergeCell ref="D277:G277"/>
    <mergeCell ref="J277:J278"/>
    <mergeCell ref="K277:K278"/>
    <mergeCell ref="D278:G278"/>
    <mergeCell ref="H277:I278"/>
    <mergeCell ref="D302:G302"/>
    <mergeCell ref="D303:G303"/>
    <mergeCell ref="H294:I294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D300:G300"/>
    <mergeCell ref="D301:G301"/>
    <mergeCell ref="H295:I295"/>
    <mergeCell ref="H296:I296"/>
    <mergeCell ref="H297:I297"/>
    <mergeCell ref="H298:I298"/>
    <mergeCell ref="H299:I299"/>
    <mergeCell ref="H300:I300"/>
    <mergeCell ref="H301:I301"/>
    <mergeCell ref="H288:I288"/>
    <mergeCell ref="H289:I289"/>
    <mergeCell ref="H290:I290"/>
    <mergeCell ref="H291:I291"/>
    <mergeCell ref="H292:I292"/>
    <mergeCell ref="H293:I293"/>
    <mergeCell ref="D279:G279"/>
    <mergeCell ref="D298:G298"/>
    <mergeCell ref="D299:G299"/>
    <mergeCell ref="D304:G304"/>
    <mergeCell ref="D305:G305"/>
    <mergeCell ref="H304:I304"/>
    <mergeCell ref="H305:I305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H302:I302"/>
    <mergeCell ref="H303:I303"/>
  </mergeCells>
  <hyperlinks>
    <hyperlink ref="J17" r:id="rId1" xr:uid="{00000000-0004-0000-0000-000000000000}"/>
    <hyperlink ref="K17" r:id="rId2" xr:uid="{00000000-0004-0000-0000-000001000000}"/>
    <hyperlink ref="J18" r:id="rId3" xr:uid="{00000000-0004-0000-0000-000003000000}"/>
    <hyperlink ref="J19" r:id="rId4" xr:uid="{00000000-0004-0000-0000-000004000000}"/>
    <hyperlink ref="J20" r:id="rId5" xr:uid="{00000000-0004-0000-0000-000005000000}"/>
    <hyperlink ref="J21" r:id="rId6" xr:uid="{00000000-0004-0000-0000-000006000000}"/>
    <hyperlink ref="J22" r:id="rId7" xr:uid="{00000000-0004-0000-0000-000007000000}"/>
    <hyperlink ref="J23" r:id="rId8" xr:uid="{00000000-0004-0000-0000-000008000000}"/>
    <hyperlink ref="J24" r:id="rId9" xr:uid="{00000000-0004-0000-0000-000009000000}"/>
    <hyperlink ref="J25" r:id="rId10" xr:uid="{00000000-0004-0000-0000-00000A000000}"/>
    <hyperlink ref="J26" r:id="rId11" xr:uid="{00000000-0004-0000-0000-00000B000000}"/>
    <hyperlink ref="K27:K36" r:id="rId12" display="гост" xr:uid="{00000000-0004-0000-0000-00000C000000}"/>
    <hyperlink ref="J27" r:id="rId13" xr:uid="{00000000-0004-0000-0000-00000D000000}"/>
    <hyperlink ref="J28" r:id="rId14" xr:uid="{00000000-0004-0000-0000-00000E000000}"/>
    <hyperlink ref="J29" r:id="rId15" xr:uid="{00000000-0004-0000-0000-00000F000000}"/>
    <hyperlink ref="J30" r:id="rId16" xr:uid="{00000000-0004-0000-0000-000010000000}"/>
    <hyperlink ref="J31" r:id="rId17" xr:uid="{00000000-0004-0000-0000-000028000000}"/>
    <hyperlink ref="J32" r:id="rId18" xr:uid="{00000000-0004-0000-0000-000029000000}"/>
    <hyperlink ref="J37" r:id="rId19" xr:uid="{00000000-0004-0000-0000-00002A000000}"/>
    <hyperlink ref="J33" r:id="rId20" xr:uid="{00000000-0004-0000-0000-00002B000000}"/>
    <hyperlink ref="J34" r:id="rId21" xr:uid="{00000000-0004-0000-0000-00002C000000}"/>
    <hyperlink ref="J35" r:id="rId22" xr:uid="{00000000-0004-0000-0000-00002D000000}"/>
    <hyperlink ref="J36" r:id="rId23" xr:uid="{00000000-0004-0000-0000-00002E000000}"/>
    <hyperlink ref="J38" r:id="rId24" xr:uid="{707B233C-F40D-174A-B889-A0171C55EDE0}"/>
    <hyperlink ref="J39" r:id="rId25" xr:uid="{58C67640-0B3A-3F46-A5E0-71159A30DF2A}"/>
    <hyperlink ref="J40" r:id="rId26" xr:uid="{B9A5A693-5217-5B4D-B7AB-7B392F6FD384}"/>
    <hyperlink ref="J41" r:id="rId27" xr:uid="{F257D17C-2508-D349-97AC-CCC6AA7F8A11}"/>
    <hyperlink ref="J42" r:id="rId28" xr:uid="{239E47D6-7F0F-7A42-981C-F233C0165F42}"/>
    <hyperlink ref="J43" r:id="rId29" xr:uid="{CFE1C7AA-E453-3241-BC83-832159A30221}"/>
    <hyperlink ref="J44" r:id="rId30" xr:uid="{DA18AEBC-ED2C-614C-9D4B-B9D5914B37D8}"/>
    <hyperlink ref="J45" r:id="rId31" xr:uid="{444972C0-77F9-BD4F-AA39-8748CE2B6F91}"/>
    <hyperlink ref="J46" r:id="rId32" xr:uid="{E8E053FD-437D-E342-ABAC-C5F89E84BD81}"/>
    <hyperlink ref="J50" r:id="rId33" xr:uid="{AEB73595-3A48-B741-B5D3-0F5361AF7D72}"/>
    <hyperlink ref="J52" r:id="rId34" xr:uid="{D4A52608-6C5A-974D-8F69-CCEC5ABD1A20}"/>
    <hyperlink ref="J47" r:id="rId35" xr:uid="{F7C9702F-679B-3048-8C2C-680D74CF5C48}"/>
    <hyperlink ref="J48" r:id="rId36" xr:uid="{797334DC-DA9E-A34C-A71D-55A882CFD57D}"/>
    <hyperlink ref="J49" r:id="rId37" xr:uid="{EA6114F8-96DF-B64F-8DA2-62A79927D31C}"/>
    <hyperlink ref="J51" r:id="rId38" xr:uid="{B51E0181-CD0B-CF40-BE4E-5659ED6B2A1B}"/>
    <hyperlink ref="J53" r:id="rId39" xr:uid="{9677DABA-AC35-E243-9A79-DFE5F2F546BE}"/>
    <hyperlink ref="J54" r:id="rId40" xr:uid="{6952A1E9-97D5-584B-8E6B-AB790F611EE4}"/>
    <hyperlink ref="J55" r:id="rId41" xr:uid="{7BFD6BB2-E0A6-8540-86C4-3CDF174FDDF2}"/>
    <hyperlink ref="J56" r:id="rId42" xr:uid="{3A2AC564-076A-384B-8919-DFE17D7BD7F6}"/>
    <hyperlink ref="J57" r:id="rId43" xr:uid="{96E3368E-8017-4A46-AEAD-FF6E2AC9134F}"/>
    <hyperlink ref="J58" r:id="rId44" xr:uid="{F244D096-01AE-E147-8582-C56C475C3532}"/>
    <hyperlink ref="K18:K34" r:id="rId45" display="гост" xr:uid="{FEFC5785-A5C7-A843-8FE5-BA820FC70EB6}"/>
    <hyperlink ref="K35" r:id="rId46" xr:uid="{579995E8-A85C-D44C-A8B1-C1227AA02327}"/>
    <hyperlink ref="K36:K39" r:id="rId47" display="гост" xr:uid="{B15CB79F-B312-5345-8F12-9D2608A1AF1B}"/>
    <hyperlink ref="K40" r:id="rId48" xr:uid="{75CFE6A9-FE34-D147-B159-4D3F6ECB4E4F}"/>
    <hyperlink ref="K41:K45" r:id="rId49" display="гост" xr:uid="{21B247E1-8209-A845-9C7A-15350F635130}"/>
    <hyperlink ref="K46" r:id="rId50" xr:uid="{3E5732A3-B350-E447-AEB5-AC97138970A1}"/>
    <hyperlink ref="K47:K53" r:id="rId51" display="гост" xr:uid="{861BBB4B-E2B4-814D-8141-CD0A4302A207}"/>
    <hyperlink ref="K54" r:id="rId52" xr:uid="{405BDF60-35FF-2243-962D-40F4DA549E9E}"/>
    <hyperlink ref="K55:K58" r:id="rId53" display="гост" xr:uid="{81AC8ED7-A91B-4043-B979-910A2A6ADD10}"/>
    <hyperlink ref="K59:K67" r:id="rId54" display="гост" xr:uid="{804E8188-8A76-A145-A5C4-FA3D85122DC3}"/>
    <hyperlink ref="J59" r:id="rId55" xr:uid="{32202DC6-741E-8349-9E06-432A51166B25}"/>
    <hyperlink ref="J60" r:id="rId56" xr:uid="{B65B2974-A347-6343-B3FE-7A398B877DE2}"/>
    <hyperlink ref="J61" r:id="rId57" xr:uid="{540276F4-64DD-414D-8E2E-8C297256E403}"/>
    <hyperlink ref="J62" r:id="rId58" xr:uid="{3FC2A940-70F1-474B-ADDA-0BBECADB7058}"/>
    <hyperlink ref="J63" r:id="rId59" xr:uid="{3FA6DC59-A2F2-5047-BD08-0E9071012091}"/>
    <hyperlink ref="J64" r:id="rId60" xr:uid="{4DD10D36-4D2F-1C4F-A4A3-73979B5BF437}"/>
    <hyperlink ref="J65" r:id="rId61" xr:uid="{C5ACBB1E-AF0A-4C40-9CCD-A1779938D19A}"/>
    <hyperlink ref="J66" r:id="rId62" xr:uid="{A3EDE202-CCDE-5747-A5CE-A4DBA57C3A8A}"/>
    <hyperlink ref="J67" r:id="rId63" xr:uid="{841925F7-F311-094D-8C31-2338A7A64117}"/>
    <hyperlink ref="K68:K71" r:id="rId64" display="гост" xr:uid="{516FB8F5-33A2-8045-A4CA-F38D67AE1806}"/>
    <hyperlink ref="J68" r:id="rId65" xr:uid="{D680E705-B947-2C4C-9A99-11AE5E8B64F1}"/>
    <hyperlink ref="J69" r:id="rId66" xr:uid="{5BFB23A3-57B0-AF4A-BC05-3F8688446C6A}"/>
    <hyperlink ref="J70" r:id="rId67" xr:uid="{726A3A66-731F-3B49-A3EE-9BBBC76E9964}"/>
    <hyperlink ref="J71" r:id="rId68" xr:uid="{725498F9-6067-CF49-962A-8B15771990C5}"/>
    <hyperlink ref="K72:K76" r:id="rId69" display="гост" xr:uid="{9E934828-0D3F-1044-8318-815D285388A1}"/>
    <hyperlink ref="J72" r:id="rId70" xr:uid="{DBD4C247-C62A-A34B-9377-B722D55D80EA}"/>
    <hyperlink ref="J73" r:id="rId71" xr:uid="{CDE3D052-3955-5140-A9D0-1D924F6838DB}"/>
    <hyperlink ref="J74" r:id="rId72" xr:uid="{51557322-C254-684D-83A5-CB163009AA5F}"/>
    <hyperlink ref="J75" r:id="rId73" xr:uid="{2FE2022B-C905-334E-AFB3-6D317A132B9A}"/>
    <hyperlink ref="J76" r:id="rId74" xr:uid="{C1E3731B-6271-134F-9B26-F40E2011DB67}"/>
    <hyperlink ref="J92" r:id="rId75" xr:uid="{6E0F4191-738D-0E42-A929-F88CC4898E34}"/>
    <hyperlink ref="K92" r:id="rId76" xr:uid="{71821B00-DAFE-2C4C-9F3E-D8C9A736248F}"/>
    <hyperlink ref="K93:K97" r:id="rId77" display="гост" xr:uid="{888CF58A-C8C5-804A-A90B-5D47EDB53B7A}"/>
    <hyperlink ref="J93" r:id="rId78" xr:uid="{B7170C3D-4D6D-2641-8A29-F0FFA7B8AB64}"/>
    <hyperlink ref="J94" r:id="rId79" xr:uid="{95AC177B-86D0-0746-8205-9BA6F5946079}"/>
    <hyperlink ref="J95" r:id="rId80" xr:uid="{6F35FA08-C7A4-B04B-8208-A19501B35E22}"/>
    <hyperlink ref="J96" r:id="rId81" xr:uid="{B2A54815-3A68-864A-BBAC-C52D17EC7932}"/>
    <hyperlink ref="J97" r:id="rId82" xr:uid="{12F3CCCF-798D-3D49-BD39-E0509953F2B2}"/>
    <hyperlink ref="K102:K108" r:id="rId83" display="гост" xr:uid="{4B890CC9-E7BB-5E41-99A0-2CF3D3E63DAF}"/>
    <hyperlink ref="K113:K119" r:id="rId84" display="гост" xr:uid="{792FF102-B1C9-B14D-BB6C-27173C6B3430}"/>
    <hyperlink ref="J119" r:id="rId85" xr:uid="{BF4E75BE-332B-5244-A114-92F197CFB936}"/>
    <hyperlink ref="J118" r:id="rId86" xr:uid="{AA3D575B-70C8-7144-B588-A02D92A3DEA5}"/>
    <hyperlink ref="J102" r:id="rId87" xr:uid="{3948FEF4-3E61-C042-B16B-46555B353C62}"/>
    <hyperlink ref="J103" r:id="rId88" xr:uid="{267B8934-4DC5-234B-9A33-30945F885188}"/>
    <hyperlink ref="J104" r:id="rId89" xr:uid="{806B127F-BF13-C24A-9CE0-57D6A3B31E22}"/>
    <hyperlink ref="J105" r:id="rId90" xr:uid="{36264AA4-867F-AD45-85DF-AA171B0E59B0}"/>
    <hyperlink ref="J106" r:id="rId91" xr:uid="{634BB01D-C847-C04A-A14E-A005A385B050}"/>
    <hyperlink ref="J107" r:id="rId92" xr:uid="{B2B03293-BA9B-0647-8069-7E7463901CE4}"/>
    <hyperlink ref="J108" r:id="rId93" xr:uid="{1C5B4D95-CBB1-9848-B463-BA193A61C198}"/>
    <hyperlink ref="J113" r:id="rId94" xr:uid="{271E2AF8-6EF8-E64A-956D-C9E81C497EC1}"/>
    <hyperlink ref="J114" r:id="rId95" xr:uid="{02C97DF3-DB8A-064F-97E7-22A841EC3206}"/>
    <hyperlink ref="J115" r:id="rId96" xr:uid="{B52C1552-EAD5-7042-9F6A-489BFBCD8EE4}"/>
    <hyperlink ref="J117" r:id="rId97" xr:uid="{5C227A73-2C81-0F41-8E02-86FE669B20C0}"/>
    <hyperlink ref="J116" r:id="rId98" xr:uid="{93930441-D536-A148-BEE5-708D3CD30B3F}"/>
    <hyperlink ref="J125" r:id="rId99" xr:uid="{938DADD8-ECE2-1C44-9C4E-FD8B94E45BDC}"/>
    <hyperlink ref="K125" r:id="rId100" xr:uid="{78414406-67F7-2A48-814D-B3C73A6B7F42}"/>
    <hyperlink ref="K126:K134" r:id="rId101" display="гост" xr:uid="{BE815F9D-880D-0A47-8208-C1EF1C0401AD}"/>
    <hyperlink ref="K135" r:id="rId102" xr:uid="{0F903406-A5FF-4F49-AAE7-A0DD61188DF6}"/>
    <hyperlink ref="K136:K142" r:id="rId103" display="гост" xr:uid="{7151B452-8A70-7A4D-93E0-D8CAD58C238F}"/>
    <hyperlink ref="K143" r:id="rId104" xr:uid="{750CBE00-E5E4-9D46-9B2F-331FADA95A69}"/>
    <hyperlink ref="K144:K149" r:id="rId105" display="гост" xr:uid="{26D690BC-B1B5-1B42-8A2A-21B4D7029569}"/>
    <hyperlink ref="K150" r:id="rId106" xr:uid="{8E3CCA4D-1163-394D-9EB2-7BD7F31D01F6}"/>
    <hyperlink ref="K151:K157" r:id="rId107" display="гост" xr:uid="{1BCECFB5-1BA2-A54D-BB4F-312E070980A0}"/>
    <hyperlink ref="J126" r:id="rId108" xr:uid="{C33C92A1-BC05-DB40-8098-D04AA8A64EA7}"/>
    <hyperlink ref="J127" r:id="rId109" xr:uid="{E81A7117-63F3-E748-A0A3-41279FBF80E0}"/>
    <hyperlink ref="J128" r:id="rId110" xr:uid="{B8A9E328-825F-5F4E-B7E8-FD44C65B965B}"/>
    <hyperlink ref="J129" r:id="rId111" xr:uid="{B04F278B-0B2E-7442-9338-CEE93A5C5013}"/>
    <hyperlink ref="J130" r:id="rId112" xr:uid="{A6AAEDF9-44E6-CD4E-81DB-0688B29C06B3}"/>
    <hyperlink ref="J131" r:id="rId113" xr:uid="{47B04E32-CDFF-694F-B813-258C240BE8D6}"/>
    <hyperlink ref="J132" r:id="rId114" xr:uid="{0A60B03A-5847-314D-BEA2-D655889D7D4F}"/>
    <hyperlink ref="J133" r:id="rId115" xr:uid="{B4363201-B7C5-8348-96D5-5B854B7474E9}"/>
    <hyperlink ref="J134" r:id="rId116" xr:uid="{0A9FAB36-59E1-1749-8FF9-6A4650B923B6}"/>
    <hyperlink ref="J135" r:id="rId117" xr:uid="{EE726165-F6BE-534E-A932-25C933B61A61}"/>
    <hyperlink ref="J136" r:id="rId118" xr:uid="{FB179DF5-8DBD-AE40-AE90-2C8957E5BB56}"/>
    <hyperlink ref="J137" r:id="rId119" xr:uid="{80BA9D98-17C3-3F45-B2F0-D958EE52F7FB}"/>
    <hyperlink ref="J138" r:id="rId120" xr:uid="{363CF4B5-3AE6-084D-8E26-510CC72DCFC4}"/>
    <hyperlink ref="J139" r:id="rId121" xr:uid="{D8DA5013-DD62-B349-9DDD-EEA4D3AF23CC}"/>
    <hyperlink ref="J140" r:id="rId122" xr:uid="{7C4CDC40-141E-624B-9A75-DDF2C07BB88A}"/>
    <hyperlink ref="J141" r:id="rId123" xr:uid="{390DC17D-2DC5-1242-A1BB-3997D5770DEB}"/>
    <hyperlink ref="J142" r:id="rId124" xr:uid="{8EB96ABE-9C58-DE46-BD4B-13A1278B3351}"/>
    <hyperlink ref="J143" r:id="rId125" xr:uid="{FBB4C435-C429-5A46-99AC-DA1D2CCE2A41}"/>
    <hyperlink ref="J144" r:id="rId126" xr:uid="{68EAA87E-5F8B-D54E-AC6C-BC19DFD754D1}"/>
    <hyperlink ref="J145" r:id="rId127" xr:uid="{A6476F99-DB88-3E44-BEF9-EAF8205E6571}"/>
    <hyperlink ref="J146" r:id="rId128" xr:uid="{47FB097C-E674-374E-AB0C-6D837606C8A4}"/>
    <hyperlink ref="J147" r:id="rId129" xr:uid="{E75B7077-F0CD-0F45-9BDB-261751DC4C88}"/>
    <hyperlink ref="J148" r:id="rId130" xr:uid="{C50997D6-BCAC-F042-891C-30286E31C7C9}"/>
    <hyperlink ref="J149" r:id="rId131" xr:uid="{68CF3A61-FF9B-A947-99BE-2E392686386D}"/>
    <hyperlink ref="J150" r:id="rId132" xr:uid="{E52463C6-D569-CF47-A320-7E5DBCC3D72E}"/>
    <hyperlink ref="J151" r:id="rId133" xr:uid="{92E5665C-B4C7-034E-B0A0-64E78A9B2BBE}"/>
    <hyperlink ref="J152" r:id="rId134" xr:uid="{7BEF94E3-3207-AE4E-9036-52CB6A6570C7}"/>
    <hyperlink ref="J153" r:id="rId135" xr:uid="{3DC85CD4-AB72-BD46-AD5E-C52E0EEFF850}"/>
    <hyperlink ref="J154" r:id="rId136" xr:uid="{E94464BA-AD15-E841-A85F-AEB34ECFE19A}"/>
    <hyperlink ref="J155" r:id="rId137" xr:uid="{7861F39F-BEC3-6242-BC24-A833618B007C}"/>
    <hyperlink ref="J156" r:id="rId138" xr:uid="{A0ACD7B8-41E5-104E-9A57-8AC0642D7551}"/>
    <hyperlink ref="J157" r:id="rId139" xr:uid="{1FFBC5DA-5726-D740-A5CC-FE8FFBE21631}"/>
    <hyperlink ref="J158" r:id="rId140" xr:uid="{B555E71E-E13F-E444-A100-FD69587A3C8C}"/>
    <hyperlink ref="K158" r:id="rId141" xr:uid="{977FC462-BD7F-C84A-A351-0776124933F4}"/>
    <hyperlink ref="K159" r:id="rId142" xr:uid="{0805AB53-F8C3-A141-B6D6-BE155D1122EF}"/>
    <hyperlink ref="K160:K162" r:id="rId143" display="гост" xr:uid="{09DA46B7-BE70-5A4C-BF94-0DAA3D517902}"/>
    <hyperlink ref="J159" r:id="rId144" xr:uid="{291E0B3D-B655-F942-A906-68E49DECC2BD}"/>
    <hyperlink ref="J160" r:id="rId145" xr:uid="{FC5D2E32-3B35-6A4E-9164-5F9FD1967B72}"/>
    <hyperlink ref="J161" r:id="rId146" xr:uid="{5AE76E74-0594-6B46-99A9-69210FDC3921}"/>
    <hyperlink ref="J162" r:id="rId147" xr:uid="{B18D7279-113C-2E4D-B9BE-15BC22111B42}"/>
    <hyperlink ref="K163" r:id="rId148" xr:uid="{F271C5E4-6F41-C34A-BD78-16823177A8BD}"/>
    <hyperlink ref="K164" r:id="rId149" xr:uid="{07946F60-80A3-9B43-A96B-E5DA786BEE76}"/>
    <hyperlink ref="K165" r:id="rId150" xr:uid="{B5338E53-BE15-0B4E-B74F-19E9373A4F49}"/>
    <hyperlink ref="J163" r:id="rId151" xr:uid="{C0C855A4-CF7F-0A4C-A926-37EBDD216E21}"/>
    <hyperlink ref="J164" r:id="rId152" xr:uid="{D3E0E759-E21A-7C41-AD3D-BA1784B84BB2}"/>
    <hyperlink ref="J165" r:id="rId153" xr:uid="{2501F3E0-B977-4346-8CAD-79C4EE397EDC}"/>
    <hyperlink ref="J170" r:id="rId154" xr:uid="{354F6CDC-A130-9D40-8085-17E36C57C9B0}"/>
    <hyperlink ref="J171" r:id="rId155" xr:uid="{7E83E55B-75F4-7948-8003-877448395AC6}"/>
    <hyperlink ref="K170" r:id="rId156" xr:uid="{027F1CA1-849D-5E44-9538-7A96D4A54E5A}"/>
    <hyperlink ref="K171" r:id="rId157" xr:uid="{54CC8D4C-6672-BB4B-A919-EFCE291C2839}"/>
    <hyperlink ref="K172" r:id="rId158" xr:uid="{B87541E3-9587-7341-90CE-AA23CEF2BD97}"/>
    <hyperlink ref="K173" r:id="rId159" xr:uid="{AB07BFF4-26D9-084F-BA4C-29E386639FAE}"/>
    <hyperlink ref="J172" r:id="rId160" xr:uid="{351B5FDC-05DD-1E40-8DF3-6C3A3917D03A}"/>
    <hyperlink ref="J173" r:id="rId161" xr:uid="{480E508C-CC9B-9646-81C7-843D18FA70AD}"/>
    <hyperlink ref="J190" r:id="rId162" xr:uid="{404EBD47-4D88-8144-81CB-AE764953DCB2}"/>
    <hyperlink ref="J191" r:id="rId163" xr:uid="{1C5A992D-EAC9-444C-B23E-D4AB61F42D10}"/>
    <hyperlink ref="J188" r:id="rId164" xr:uid="{ACC07B10-54D0-5544-87C3-A6B21F85E2C5}"/>
    <hyperlink ref="J189" r:id="rId165" xr:uid="{096A7868-9A0A-4244-AB2C-07400CE45F32}"/>
    <hyperlink ref="J186" r:id="rId166" xr:uid="{1ADD6B2A-E3B4-4445-B29D-88E27788EB57}"/>
    <hyperlink ref="J187" r:id="rId167" xr:uid="{5D083259-0BFF-5042-A561-2DA650952DB2}"/>
    <hyperlink ref="J182" r:id="rId168" xr:uid="{E9AC3EA8-421C-DC4B-854C-AD752DDAE4B3}"/>
    <hyperlink ref="J183" r:id="rId169" xr:uid="{949B6448-6607-9F40-AEE9-333B9CC48E14}"/>
    <hyperlink ref="J184" r:id="rId170" xr:uid="{DFD500F8-57C1-854B-8B33-29F25A641CF2}"/>
    <hyperlink ref="J185" r:id="rId171" xr:uid="{47391979-1AFB-8E43-8217-059076DE33DA}"/>
    <hyperlink ref="J192" r:id="rId172" xr:uid="{444B9D1D-B1CD-B743-8824-F8E72F8A3AF0}"/>
    <hyperlink ref="J197" r:id="rId173" xr:uid="{0EE99598-10CD-AD4F-80CB-03256D5ACAA8}"/>
    <hyperlink ref="J198:J205" r:id="rId174" display="сайт" xr:uid="{CDFAEF65-9732-2944-9265-DB3658B592C4}"/>
    <hyperlink ref="J206" r:id="rId175" xr:uid="{6789BA92-ED1F-E14B-87C2-B3D1E0A7B4EF}"/>
    <hyperlink ref="K206" r:id="rId176" xr:uid="{F250568D-8AB0-284B-9611-EBFAC8AC5DD2}"/>
    <hyperlink ref="K211" r:id="rId177" xr:uid="{94640A66-5819-D942-8202-C8CC44DE83C7}"/>
    <hyperlink ref="J211" r:id="rId178" xr:uid="{53C764F3-7445-064C-A626-2A690F842319}"/>
    <hyperlink ref="J212" r:id="rId179" xr:uid="{91B6D844-E660-1440-94A2-37C36D38E1A2}"/>
    <hyperlink ref="K221" r:id="rId180" xr:uid="{9F210609-DA47-F74B-AC45-5CEB715205E0}"/>
    <hyperlink ref="K222:K227" r:id="rId181" display="гост" xr:uid="{C15DA609-C594-2E44-A827-91719F0B7030}"/>
    <hyperlink ref="J217" r:id="rId182" xr:uid="{EC36996C-26EC-4D4E-A722-E1C7293BFD17}"/>
    <hyperlink ref="J218" r:id="rId183" xr:uid="{49583F93-F96F-D143-8E75-8725355F3954}"/>
    <hyperlink ref="J221" r:id="rId184" xr:uid="{99381A83-F9BF-5541-AB4B-E3F8DD507ED4}"/>
    <hyperlink ref="J222" r:id="rId185" xr:uid="{46C804AE-0B04-A945-BD4E-05E89B023558}"/>
    <hyperlink ref="J223" r:id="rId186" xr:uid="{54BA40BF-D1FE-0D4A-826A-377EEFE6CAD5}"/>
    <hyperlink ref="J224" r:id="rId187" xr:uid="{0426DF10-317C-7543-997D-C765712BE542}"/>
    <hyperlink ref="J226" r:id="rId188" xr:uid="{0D3375B1-0D88-0C46-8DCA-FEAA97C253D7}"/>
    <hyperlink ref="J225" r:id="rId189" xr:uid="{4A454C1A-B4CD-A94E-845C-D361E5BA1742}"/>
    <hyperlink ref="J227" r:id="rId190" xr:uid="{5D59540D-7065-F246-945D-FBFB325A1EC9}"/>
    <hyperlink ref="K232" r:id="rId191" xr:uid="{23C0DE5F-C2C8-A04E-8ECE-AA894E3EECA3}"/>
    <hyperlink ref="J232" r:id="rId192" xr:uid="{2508CBFE-CB33-A948-A776-01D8E2BC70D5}"/>
    <hyperlink ref="J233" r:id="rId193" xr:uid="{238CB9A5-0C57-7440-B635-B8DDD91CBF4C}"/>
    <hyperlink ref="K233" r:id="rId194" xr:uid="{C51E3B40-40D0-0E4E-B9DB-49BA26DC4D18}"/>
    <hyperlink ref="J234" r:id="rId195" xr:uid="{2685E371-C973-4248-B006-E5DEC7D91A90}"/>
    <hyperlink ref="K234" r:id="rId196" xr:uid="{17313CEB-7500-9746-A1D1-6DC17D8213AB}"/>
    <hyperlink ref="J236" r:id="rId197" xr:uid="{3479F679-ADD2-6F46-B2D5-467AF4D8D5B4}"/>
    <hyperlink ref="J237" r:id="rId198" xr:uid="{3F2D4F0F-E1D4-4045-9CB9-9F2763EF2F0B}"/>
    <hyperlink ref="K235:K237" r:id="rId199" display="гост" xr:uid="{051C9512-9B4F-8A4B-811A-595CAF451467}"/>
    <hyperlink ref="J242" r:id="rId200" xr:uid="{A5AF315D-EDB5-3A42-8316-2B95E3312806}"/>
    <hyperlink ref="J243" r:id="rId201" xr:uid="{60D8E660-A055-DA40-B3EC-A75D357EC25F}"/>
    <hyperlink ref="J245" r:id="rId202" xr:uid="{F1B8235D-75BB-A44C-BBAF-722E64165843}"/>
    <hyperlink ref="J246" r:id="rId203" xr:uid="{AE47AA86-F5C9-3D44-889C-F7972E3C6F0B}"/>
    <hyperlink ref="J244" r:id="rId204" xr:uid="{C09E4C2E-45E6-5045-92AE-D3198B679587}"/>
    <hyperlink ref="J251" r:id="rId205" xr:uid="{C991B653-4445-2A4E-A77C-0B2C1EE2120B}"/>
    <hyperlink ref="J252" r:id="rId206" xr:uid="{EE629484-FEC7-3547-A5CB-180B48262750}"/>
    <hyperlink ref="J260" r:id="rId207" xr:uid="{4A4E2018-525C-0447-8840-4CC120D5348F}"/>
    <hyperlink ref="K260" r:id="rId208" xr:uid="{6B46FF86-3A96-5446-93BB-D73D48787597}"/>
    <hyperlink ref="J258" r:id="rId209" xr:uid="{3294C406-DC19-6644-91FC-332B58662EFD}"/>
    <hyperlink ref="J259" r:id="rId210" xr:uid="{5FF942FF-5A1E-4C40-8FC7-B6519D8B1C54}"/>
    <hyperlink ref="K259" r:id="rId211" xr:uid="{8D25BE55-DFC0-FD4B-A5E1-E33A40C05B70}"/>
    <hyperlink ref="K261" r:id="rId212" xr:uid="{DF9B190B-A8CD-984B-A49B-D234AA623517}"/>
    <hyperlink ref="K262:K266" r:id="rId213" display="гост" xr:uid="{35E6B610-7664-0D4F-8939-A755655C694E}"/>
    <hyperlink ref="J261" r:id="rId214" xr:uid="{5258C8C3-C4D7-1B43-986A-BD1D287E5EA9}"/>
    <hyperlink ref="J262:J266" r:id="rId215" display="сайт" xr:uid="{ED0F09E1-6045-4E4C-B81D-4B1B998B3930}"/>
    <hyperlink ref="K257" r:id="rId216" xr:uid="{DD85E663-139C-514B-A875-C2863B68D167}"/>
    <hyperlink ref="J257" r:id="rId217" xr:uid="{B001EFB3-C7C7-E043-924D-BEF767EA4556}"/>
    <hyperlink ref="J272" r:id="rId218" xr:uid="{41798AE8-DFF1-614A-90CD-D7FDE1911E7E}"/>
    <hyperlink ref="J273" r:id="rId219" xr:uid="{877810F7-37F8-8444-8CF5-88102B3B854E}"/>
    <hyperlink ref="J274" r:id="rId220" xr:uid="{41D01793-DAEC-2B40-82FA-F3E608F45430}"/>
    <hyperlink ref="K272" r:id="rId221" xr:uid="{7CBC164E-D0D6-5843-A2C6-22A16A8B02FA}"/>
    <hyperlink ref="K273" r:id="rId222" xr:uid="{26DCDFE6-F469-2D4D-860D-1A4ECF608802}"/>
    <hyperlink ref="K274" r:id="rId223" xr:uid="{4EF0452B-FDEA-974B-9006-D897551DCF94}"/>
    <hyperlink ref="K77" r:id="rId224" xr:uid="{2E1317E1-909F-5045-8699-B3811CB57A0D}"/>
    <hyperlink ref="K78:K81" r:id="rId225" display="гост" xr:uid="{9239C41E-A9B6-924C-ABB7-37EECC6FC93F}"/>
    <hyperlink ref="K82" r:id="rId226" xr:uid="{2BA6C9A7-4B4F-1B4C-98CB-0BC6CDD5281D}"/>
    <hyperlink ref="K83:K84" r:id="rId227" display="гост" xr:uid="{F02E387B-F873-174C-A204-8D7450634A91}"/>
    <hyperlink ref="K85" r:id="rId228" xr:uid="{8A0623FE-329A-3E41-8525-ED27F4BD3444}"/>
    <hyperlink ref="K86" r:id="rId229" xr:uid="{D7843B85-8642-3744-AA1B-B0E0E125B4D5}"/>
    <hyperlink ref="K87" r:id="rId230" xr:uid="{ED517DA9-BDD6-F84D-A871-FB3AE84A1609}"/>
    <hyperlink ref="K120" r:id="rId231" xr:uid="{2E52080A-A5A9-4A41-AF50-2659AAB5B2C4}"/>
    <hyperlink ref="K174" r:id="rId232" xr:uid="{D07A3340-5197-B94C-87DC-1F1F7E3EDC2B}"/>
    <hyperlink ref="K175:K177" r:id="rId233" display="гост" xr:uid="{82BCAF27-3172-8C47-9B6E-4CBED2CE09A6}"/>
  </hyperlinks>
  <printOptions horizontalCentered="1"/>
  <pageMargins left="0.25" right="0.15" top="0.25" bottom="0.25" header="0.2" footer="0.2"/>
  <pageSetup paperSize="9" scale="69" firstPageNumber="0" pageOrder="overThenDown" orientation="landscape" horizontalDpi="300" verticalDpi="300"/>
  <headerFooter alignWithMargins="0"/>
  <drawing r:id="rId2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5"/>
  <sheetViews>
    <sheetView zoomScale="120" zoomScaleNormal="120" workbookViewId="0">
      <selection activeCell="B14" sqref="B14"/>
    </sheetView>
  </sheetViews>
  <sheetFormatPr baseColWidth="10" defaultColWidth="8.1640625" defaultRowHeight="14"/>
  <cols>
    <col min="1" max="1" width="5.33203125" customWidth="1"/>
    <col min="2" max="2" width="66.1640625" customWidth="1"/>
    <col min="3" max="3" width="15.33203125" style="43" customWidth="1"/>
    <col min="4" max="5" width="15.33203125" style="44" customWidth="1"/>
    <col min="6" max="7" width="10.6640625" style="43" customWidth="1"/>
  </cols>
  <sheetData>
    <row r="1" spans="1:7" ht="14" customHeight="1" thickBot="1">
      <c r="A1" s="197" t="s">
        <v>120</v>
      </c>
      <c r="B1" s="198"/>
      <c r="C1" s="198"/>
      <c r="D1" s="198"/>
      <c r="E1" s="198"/>
      <c r="F1" s="198"/>
      <c r="G1" s="199"/>
    </row>
    <row r="2" spans="1:7" ht="15" thickBot="1">
      <c r="A2" s="59"/>
      <c r="B2" s="59" t="s">
        <v>0</v>
      </c>
      <c r="C2" s="61" t="s">
        <v>117</v>
      </c>
      <c r="D2" s="169" t="s">
        <v>1</v>
      </c>
      <c r="E2" s="170"/>
      <c r="F2" s="169" t="s">
        <v>2</v>
      </c>
      <c r="G2" s="170"/>
    </row>
    <row r="3" spans="1:7">
      <c r="A3" s="203" t="s">
        <v>265</v>
      </c>
      <c r="B3" s="204"/>
      <c r="C3" s="60"/>
      <c r="D3" s="62" t="s">
        <v>127</v>
      </c>
      <c r="E3" s="63" t="s">
        <v>128</v>
      </c>
      <c r="F3" s="64" t="s">
        <v>127</v>
      </c>
      <c r="G3" s="65" t="s">
        <v>128</v>
      </c>
    </row>
    <row r="4" spans="1:7" s="17" customFormat="1" ht="14.25" customHeight="1">
      <c r="A4" s="32"/>
      <c r="B4" s="33" t="s">
        <v>3</v>
      </c>
      <c r="C4" s="72" t="s">
        <v>153</v>
      </c>
      <c r="D4" s="36">
        <v>14060</v>
      </c>
      <c r="E4" s="37">
        <f>D4-1000</f>
        <v>13060</v>
      </c>
      <c r="F4" s="38" t="s">
        <v>103</v>
      </c>
      <c r="G4" s="39" t="s">
        <v>13</v>
      </c>
    </row>
    <row r="5" spans="1:7" s="17" customFormat="1">
      <c r="A5" s="32"/>
      <c r="B5" s="34" t="s">
        <v>271</v>
      </c>
      <c r="C5" s="72" t="s">
        <v>153</v>
      </c>
      <c r="D5" s="40">
        <v>18160</v>
      </c>
      <c r="E5" s="37">
        <f t="shared" ref="E5:E15" si="0">D5-1000</f>
        <v>17160</v>
      </c>
      <c r="F5" s="41">
        <v>21250</v>
      </c>
      <c r="G5" s="42" t="s">
        <v>13</v>
      </c>
    </row>
    <row r="6" spans="1:7" s="18" customFormat="1">
      <c r="A6" s="35"/>
      <c r="B6" s="34" t="s">
        <v>4</v>
      </c>
      <c r="C6" s="72" t="s">
        <v>153</v>
      </c>
      <c r="D6" s="40">
        <v>19800</v>
      </c>
      <c r="E6" s="37">
        <f t="shared" si="0"/>
        <v>18800</v>
      </c>
      <c r="F6" s="41">
        <v>22800</v>
      </c>
      <c r="G6" s="42" t="s">
        <v>13</v>
      </c>
    </row>
    <row r="7" spans="1:7" s="17" customFormat="1">
      <c r="A7" s="32"/>
      <c r="B7" s="34" t="s">
        <v>5</v>
      </c>
      <c r="C7" s="72" t="s">
        <v>153</v>
      </c>
      <c r="D7" s="40">
        <v>19100</v>
      </c>
      <c r="E7" s="37">
        <f t="shared" si="0"/>
        <v>18100</v>
      </c>
      <c r="F7" s="41">
        <v>20100</v>
      </c>
      <c r="G7" s="42" t="s">
        <v>13</v>
      </c>
    </row>
    <row r="8" spans="1:7" s="17" customFormat="1">
      <c r="A8" s="32"/>
      <c r="B8" s="34" t="s">
        <v>6</v>
      </c>
      <c r="C8" s="72" t="s">
        <v>153</v>
      </c>
      <c r="D8" s="40">
        <v>22900</v>
      </c>
      <c r="E8" s="37">
        <f t="shared" si="0"/>
        <v>21900</v>
      </c>
      <c r="F8" s="41">
        <v>23900</v>
      </c>
      <c r="G8" s="42" t="s">
        <v>13</v>
      </c>
    </row>
    <row r="9" spans="1:7" s="17" customFormat="1">
      <c r="A9" s="32"/>
      <c r="B9" s="34" t="s">
        <v>7</v>
      </c>
      <c r="C9" s="72" t="s">
        <v>153</v>
      </c>
      <c r="D9" s="40">
        <v>36800</v>
      </c>
      <c r="E9" s="37">
        <f t="shared" si="0"/>
        <v>35800</v>
      </c>
      <c r="F9" s="41">
        <v>38200</v>
      </c>
      <c r="G9" s="42" t="s">
        <v>13</v>
      </c>
    </row>
    <row r="10" spans="1:7" s="17" customFormat="1">
      <c r="A10" s="32"/>
      <c r="B10" s="34" t="s">
        <v>8</v>
      </c>
      <c r="C10" s="72" t="s">
        <v>153</v>
      </c>
      <c r="D10" s="40">
        <v>27700</v>
      </c>
      <c r="E10" s="37">
        <f t="shared" si="0"/>
        <v>26700</v>
      </c>
      <c r="F10" s="41">
        <v>28900</v>
      </c>
      <c r="G10" s="42" t="s">
        <v>13</v>
      </c>
    </row>
    <row r="11" spans="1:7" s="17" customFormat="1">
      <c r="A11" s="32"/>
      <c r="B11" s="34" t="s">
        <v>9</v>
      </c>
      <c r="C11" s="72" t="s">
        <v>153</v>
      </c>
      <c r="D11" s="40">
        <v>43800</v>
      </c>
      <c r="E11" s="37">
        <f t="shared" si="0"/>
        <v>42800</v>
      </c>
      <c r="F11" s="41">
        <v>44800</v>
      </c>
      <c r="G11" s="42" t="s">
        <v>13</v>
      </c>
    </row>
    <row r="12" spans="1:7" s="17" customFormat="1">
      <c r="A12" s="32"/>
      <c r="B12" s="34" t="s">
        <v>10</v>
      </c>
      <c r="C12" s="72" t="s">
        <v>153</v>
      </c>
      <c r="D12" s="40">
        <v>56800</v>
      </c>
      <c r="E12" s="37">
        <f t="shared" si="0"/>
        <v>55800</v>
      </c>
      <c r="F12" s="41">
        <v>59800</v>
      </c>
      <c r="G12" s="42" t="s">
        <v>13</v>
      </c>
    </row>
    <row r="13" spans="1:7" s="17" customFormat="1">
      <c r="A13" s="32"/>
      <c r="B13" s="34" t="s">
        <v>11</v>
      </c>
      <c r="C13" s="72" t="s">
        <v>153</v>
      </c>
      <c r="D13" s="40">
        <v>22200</v>
      </c>
      <c r="E13" s="37">
        <f t="shared" si="0"/>
        <v>21200</v>
      </c>
      <c r="F13" s="41">
        <v>23300</v>
      </c>
      <c r="G13" s="42" t="s">
        <v>13</v>
      </c>
    </row>
    <row r="14" spans="1:7" s="17" customFormat="1">
      <c r="A14" s="32"/>
      <c r="B14" s="34" t="s">
        <v>12</v>
      </c>
      <c r="C14" s="72" t="s">
        <v>153</v>
      </c>
      <c r="D14" s="40" t="s">
        <v>13</v>
      </c>
      <c r="E14" s="37" t="s">
        <v>13</v>
      </c>
      <c r="F14" s="41" t="s">
        <v>13</v>
      </c>
      <c r="G14" s="42" t="s">
        <v>13</v>
      </c>
    </row>
    <row r="15" spans="1:7" s="17" customFormat="1">
      <c r="A15" s="32"/>
      <c r="B15" s="34" t="s">
        <v>257</v>
      </c>
      <c r="C15" s="72" t="s">
        <v>153</v>
      </c>
      <c r="D15" s="40">
        <v>182000</v>
      </c>
      <c r="E15" s="37">
        <f t="shared" si="0"/>
        <v>181000</v>
      </c>
      <c r="F15" s="41">
        <v>186000</v>
      </c>
      <c r="G15" s="42" t="s">
        <v>13</v>
      </c>
    </row>
    <row r="16" spans="1:7" s="17" customFormat="1">
      <c r="A16" s="32"/>
      <c r="B16" s="34" t="s">
        <v>256</v>
      </c>
      <c r="C16" s="81" t="s">
        <v>154</v>
      </c>
      <c r="D16" s="46">
        <v>132</v>
      </c>
      <c r="E16" s="45">
        <v>128</v>
      </c>
      <c r="F16" s="42" t="s">
        <v>13</v>
      </c>
      <c r="G16" s="42" t="s">
        <v>13</v>
      </c>
    </row>
    <row r="17" spans="1:7" s="17" customFormat="1">
      <c r="A17" s="32"/>
      <c r="B17" s="34" t="s">
        <v>255</v>
      </c>
      <c r="C17" s="81" t="s">
        <v>154</v>
      </c>
      <c r="D17" s="46">
        <v>520</v>
      </c>
      <c r="E17" s="45">
        <v>510</v>
      </c>
      <c r="F17" s="42" t="s">
        <v>13</v>
      </c>
      <c r="G17" s="42" t="s">
        <v>13</v>
      </c>
    </row>
    <row r="18" spans="1:7" s="17" customFormat="1">
      <c r="A18" s="70"/>
      <c r="B18" s="71" t="s">
        <v>258</v>
      </c>
      <c r="C18" s="81" t="s">
        <v>154</v>
      </c>
      <c r="D18" s="47">
        <v>780</v>
      </c>
      <c r="E18" s="48">
        <v>770</v>
      </c>
      <c r="F18" s="49" t="s">
        <v>13</v>
      </c>
      <c r="G18" s="49" t="s">
        <v>13</v>
      </c>
    </row>
    <row r="19" spans="1:7" s="17" customFormat="1" ht="15" thickBot="1">
      <c r="A19" s="93"/>
      <c r="B19" s="71" t="s">
        <v>259</v>
      </c>
      <c r="C19" s="81" t="s">
        <v>154</v>
      </c>
      <c r="D19" s="57">
        <v>960</v>
      </c>
      <c r="E19" s="58">
        <v>950</v>
      </c>
      <c r="F19" s="49" t="s">
        <v>13</v>
      </c>
      <c r="G19" s="49" t="s">
        <v>13</v>
      </c>
    </row>
    <row r="20" spans="1:7">
      <c r="A20" s="66"/>
      <c r="B20" s="205" t="s">
        <v>0</v>
      </c>
      <c r="C20" s="210" t="s">
        <v>117</v>
      </c>
      <c r="D20" s="212" t="s">
        <v>1</v>
      </c>
      <c r="E20" s="213"/>
      <c r="F20" s="212" t="s">
        <v>2</v>
      </c>
      <c r="G20" s="213"/>
    </row>
    <row r="21" spans="1:7" ht="18" customHeight="1" thickBot="1">
      <c r="A21" s="67"/>
      <c r="B21" s="206"/>
      <c r="C21" s="211"/>
      <c r="D21" s="214"/>
      <c r="E21" s="215"/>
      <c r="F21" s="214"/>
      <c r="G21" s="215"/>
    </row>
    <row r="22" spans="1:7" s="17" customFormat="1">
      <c r="A22" s="94"/>
      <c r="B22" s="95" t="s">
        <v>253</v>
      </c>
      <c r="C22" s="96" t="s">
        <v>153</v>
      </c>
      <c r="D22" s="200">
        <v>68000</v>
      </c>
      <c r="E22" s="200"/>
      <c r="F22" s="174" t="s">
        <v>13</v>
      </c>
      <c r="G22" s="174"/>
    </row>
    <row r="23" spans="1:7" s="17" customFormat="1" ht="15" thickBot="1">
      <c r="A23" s="32"/>
      <c r="B23" s="97" t="s">
        <v>254</v>
      </c>
      <c r="C23" s="98" t="s">
        <v>153</v>
      </c>
      <c r="D23" s="188">
        <v>72000</v>
      </c>
      <c r="E23" s="188"/>
      <c r="F23" s="175" t="s">
        <v>13</v>
      </c>
      <c r="G23" s="175"/>
    </row>
    <row r="24" spans="1:7" s="28" customFormat="1" ht="15" thickBot="1">
      <c r="A24" s="190" t="s">
        <v>272</v>
      </c>
      <c r="B24" s="202"/>
      <c r="C24" s="61" t="s">
        <v>117</v>
      </c>
      <c r="D24" s="169" t="s">
        <v>1</v>
      </c>
      <c r="E24" s="170"/>
      <c r="F24" s="169" t="s">
        <v>2</v>
      </c>
      <c r="G24" s="170"/>
    </row>
    <row r="25" spans="1:7" s="17" customFormat="1">
      <c r="A25" s="32"/>
      <c r="B25" s="34" t="s">
        <v>14</v>
      </c>
      <c r="C25" s="73" t="s">
        <v>153</v>
      </c>
      <c r="D25" s="181">
        <v>52000</v>
      </c>
      <c r="E25" s="189"/>
      <c r="F25" s="174" t="s">
        <v>13</v>
      </c>
      <c r="G25" s="174"/>
    </row>
    <row r="26" spans="1:7" s="17" customFormat="1">
      <c r="A26" s="32"/>
      <c r="B26" s="34" t="s">
        <v>15</v>
      </c>
      <c r="C26" s="74" t="s">
        <v>153</v>
      </c>
      <c r="D26" s="160">
        <v>58600</v>
      </c>
      <c r="E26" s="184"/>
      <c r="F26" s="164" t="s">
        <v>13</v>
      </c>
      <c r="G26" s="164"/>
    </row>
    <row r="27" spans="1:7" s="17" customFormat="1" ht="15" thickBot="1">
      <c r="A27" s="32"/>
      <c r="B27" s="34" t="s">
        <v>16</v>
      </c>
      <c r="C27" s="74" t="s">
        <v>153</v>
      </c>
      <c r="D27" s="160">
        <v>58600</v>
      </c>
      <c r="E27" s="184"/>
      <c r="F27" s="164" t="s">
        <v>13</v>
      </c>
      <c r="G27" s="164"/>
    </row>
    <row r="28" spans="1:7" ht="15" thickBot="1">
      <c r="A28" s="201" t="s">
        <v>273</v>
      </c>
      <c r="B28" s="195"/>
      <c r="C28" s="61" t="s">
        <v>117</v>
      </c>
      <c r="D28" s="169" t="s">
        <v>1</v>
      </c>
      <c r="E28" s="170"/>
      <c r="F28" s="169" t="s">
        <v>2</v>
      </c>
      <c r="G28" s="170"/>
    </row>
    <row r="29" spans="1:7" s="17" customFormat="1">
      <c r="A29" s="32"/>
      <c r="B29" s="34" t="s">
        <v>14</v>
      </c>
      <c r="C29" s="74" t="s">
        <v>153</v>
      </c>
      <c r="D29" s="160">
        <v>46800</v>
      </c>
      <c r="E29" s="184"/>
      <c r="F29" s="164" t="s">
        <v>13</v>
      </c>
      <c r="G29" s="164"/>
    </row>
    <row r="30" spans="1:7" s="17" customFormat="1">
      <c r="A30" s="32"/>
      <c r="B30" s="34" t="s">
        <v>17</v>
      </c>
      <c r="C30" s="74" t="s">
        <v>153</v>
      </c>
      <c r="D30" s="160">
        <v>47200</v>
      </c>
      <c r="E30" s="184"/>
      <c r="F30" s="164" t="s">
        <v>13</v>
      </c>
      <c r="G30" s="164"/>
    </row>
    <row r="31" spans="1:7" s="17" customFormat="1" ht="15" thickBot="1">
      <c r="A31" s="32"/>
      <c r="B31" s="34" t="s">
        <v>18</v>
      </c>
      <c r="C31" s="74" t="s">
        <v>153</v>
      </c>
      <c r="D31" s="160">
        <v>49800</v>
      </c>
      <c r="E31" s="184"/>
      <c r="F31" s="164" t="s">
        <v>13</v>
      </c>
      <c r="G31" s="164"/>
    </row>
    <row r="32" spans="1:7" ht="15" thickBot="1">
      <c r="A32" s="190" t="s">
        <v>269</v>
      </c>
      <c r="B32" s="191"/>
      <c r="C32" s="61" t="s">
        <v>117</v>
      </c>
      <c r="D32" s="169" t="s">
        <v>1</v>
      </c>
      <c r="E32" s="170"/>
      <c r="F32" s="169" t="s">
        <v>2</v>
      </c>
      <c r="G32" s="170"/>
    </row>
    <row r="33" spans="1:7" s="17" customFormat="1">
      <c r="A33" s="32"/>
      <c r="B33" s="34" t="s">
        <v>19</v>
      </c>
      <c r="C33" s="74" t="s">
        <v>153</v>
      </c>
      <c r="D33" s="160">
        <v>156200</v>
      </c>
      <c r="E33" s="184"/>
      <c r="F33" s="164" t="s">
        <v>13</v>
      </c>
      <c r="G33" s="164"/>
    </row>
    <row r="34" spans="1:7" s="17" customFormat="1">
      <c r="A34" s="32"/>
      <c r="B34" s="34" t="s">
        <v>20</v>
      </c>
      <c r="C34" s="74" t="s">
        <v>153</v>
      </c>
      <c r="D34" s="160">
        <v>168000</v>
      </c>
      <c r="E34" s="184"/>
      <c r="F34" s="164" t="s">
        <v>13</v>
      </c>
      <c r="G34" s="164"/>
    </row>
    <row r="35" spans="1:7" s="17" customFormat="1">
      <c r="A35" s="32"/>
      <c r="B35" s="34" t="s">
        <v>21</v>
      </c>
      <c r="C35" s="74" t="s">
        <v>153</v>
      </c>
      <c r="D35" s="160">
        <v>168000</v>
      </c>
      <c r="E35" s="184"/>
      <c r="F35" s="164" t="s">
        <v>13</v>
      </c>
      <c r="G35" s="164"/>
    </row>
    <row r="36" spans="1:7" s="17" customFormat="1">
      <c r="A36" s="32"/>
      <c r="B36" s="34" t="s">
        <v>22</v>
      </c>
      <c r="C36" s="74" t="s">
        <v>153</v>
      </c>
      <c r="D36" s="160">
        <v>168000</v>
      </c>
      <c r="E36" s="184"/>
      <c r="F36" s="164" t="s">
        <v>13</v>
      </c>
      <c r="G36" s="164"/>
    </row>
    <row r="37" spans="1:7" s="17" customFormat="1">
      <c r="A37" s="32"/>
      <c r="B37" s="34" t="s">
        <v>23</v>
      </c>
      <c r="C37" s="74" t="s">
        <v>153</v>
      </c>
      <c r="D37" s="160">
        <v>168000</v>
      </c>
      <c r="E37" s="184"/>
      <c r="F37" s="164" t="s">
        <v>13</v>
      </c>
      <c r="G37" s="164"/>
    </row>
    <row r="38" spans="1:7" s="17" customFormat="1" ht="15" thickBot="1">
      <c r="A38" s="32"/>
      <c r="B38" s="34" t="s">
        <v>101</v>
      </c>
      <c r="C38" s="74" t="s">
        <v>376</v>
      </c>
      <c r="D38" s="160">
        <v>480000</v>
      </c>
      <c r="E38" s="184"/>
      <c r="F38" s="164" t="s">
        <v>13</v>
      </c>
      <c r="G38" s="164"/>
    </row>
    <row r="39" spans="1:7" ht="15" thickBot="1">
      <c r="A39" s="190" t="s">
        <v>270</v>
      </c>
      <c r="B39" s="191"/>
      <c r="C39" s="61" t="s">
        <v>117</v>
      </c>
      <c r="D39" s="169" t="s">
        <v>1</v>
      </c>
      <c r="E39" s="170"/>
      <c r="F39" s="169" t="s">
        <v>2</v>
      </c>
      <c r="G39" s="170"/>
    </row>
    <row r="40" spans="1:7" s="17" customFormat="1">
      <c r="A40" s="32"/>
      <c r="B40" s="34" t="s">
        <v>266</v>
      </c>
      <c r="C40" s="74" t="s">
        <v>153</v>
      </c>
      <c r="D40" s="160">
        <v>92800</v>
      </c>
      <c r="E40" s="184"/>
      <c r="F40" s="164" t="s">
        <v>13</v>
      </c>
      <c r="G40" s="164"/>
    </row>
    <row r="41" spans="1:7" s="17" customFormat="1">
      <c r="A41" s="32"/>
      <c r="B41" s="34" t="s">
        <v>267</v>
      </c>
      <c r="C41" s="74" t="s">
        <v>153</v>
      </c>
      <c r="D41" s="160">
        <v>98600</v>
      </c>
      <c r="E41" s="184"/>
      <c r="F41" s="164" t="s">
        <v>13</v>
      </c>
      <c r="G41" s="164"/>
    </row>
    <row r="42" spans="1:7" s="17" customFormat="1">
      <c r="A42" s="32"/>
      <c r="B42" s="34" t="s">
        <v>260</v>
      </c>
      <c r="C42" s="74" t="s">
        <v>153</v>
      </c>
      <c r="D42" s="160">
        <v>102800</v>
      </c>
      <c r="E42" s="184"/>
      <c r="F42" s="164" t="s">
        <v>13</v>
      </c>
      <c r="G42" s="164"/>
    </row>
    <row r="43" spans="1:7" s="17" customFormat="1">
      <c r="A43" s="32"/>
      <c r="B43" s="34" t="s">
        <v>261</v>
      </c>
      <c r="C43" s="74" t="s">
        <v>153</v>
      </c>
      <c r="D43" s="160">
        <v>104600</v>
      </c>
      <c r="E43" s="184"/>
      <c r="F43" s="164" t="s">
        <v>13</v>
      </c>
      <c r="G43" s="164"/>
    </row>
    <row r="44" spans="1:7" s="17" customFormat="1">
      <c r="A44" s="32"/>
      <c r="B44" s="34" t="s">
        <v>262</v>
      </c>
      <c r="C44" s="74" t="s">
        <v>153</v>
      </c>
      <c r="D44" s="160">
        <v>108200</v>
      </c>
      <c r="E44" s="184"/>
      <c r="F44" s="164" t="s">
        <v>13</v>
      </c>
      <c r="G44" s="164"/>
    </row>
    <row r="45" spans="1:7" s="17" customFormat="1">
      <c r="A45" s="32"/>
      <c r="B45" s="34" t="s">
        <v>263</v>
      </c>
      <c r="C45" s="74" t="s">
        <v>153</v>
      </c>
      <c r="D45" s="160">
        <v>86800</v>
      </c>
      <c r="E45" s="184"/>
      <c r="F45" s="164" t="s">
        <v>13</v>
      </c>
      <c r="G45" s="164"/>
    </row>
    <row r="46" spans="1:7" s="17" customFormat="1" ht="15" thickBot="1">
      <c r="A46" s="70"/>
      <c r="B46" s="71" t="s">
        <v>264</v>
      </c>
      <c r="C46" s="75" t="s">
        <v>153</v>
      </c>
      <c r="D46" s="216">
        <v>92600</v>
      </c>
      <c r="E46" s="217"/>
      <c r="F46" s="164" t="s">
        <v>13</v>
      </c>
      <c r="G46" s="164"/>
    </row>
    <row r="47" spans="1:7" ht="15" thickBot="1">
      <c r="A47" s="207" t="s">
        <v>268</v>
      </c>
      <c r="B47" s="208"/>
      <c r="C47" s="61" t="s">
        <v>117</v>
      </c>
      <c r="D47" s="169" t="s">
        <v>1</v>
      </c>
      <c r="E47" s="170"/>
      <c r="F47" s="169" t="s">
        <v>2</v>
      </c>
      <c r="G47" s="170"/>
    </row>
    <row r="48" spans="1:7" s="17" customFormat="1">
      <c r="A48" s="78"/>
      <c r="B48" s="68" t="s">
        <v>279</v>
      </c>
      <c r="C48" s="68" t="s">
        <v>24</v>
      </c>
      <c r="D48" s="219">
        <v>103600</v>
      </c>
      <c r="E48" s="220"/>
      <c r="F48" s="164" t="s">
        <v>13</v>
      </c>
      <c r="G48" s="164"/>
    </row>
    <row r="49" spans="1:8" s="17" customFormat="1">
      <c r="A49" s="70"/>
      <c r="B49" s="71" t="s">
        <v>280</v>
      </c>
      <c r="C49" s="75" t="s">
        <v>153</v>
      </c>
      <c r="D49" s="160">
        <v>103600</v>
      </c>
      <c r="E49" s="185"/>
      <c r="F49" s="164" t="s">
        <v>13</v>
      </c>
      <c r="G49" s="164"/>
    </row>
    <row r="50" spans="1:8" s="17" customFormat="1" ht="15" thickBot="1">
      <c r="A50" s="32"/>
      <c r="B50" s="34" t="s">
        <v>399</v>
      </c>
      <c r="C50" s="74" t="s">
        <v>376</v>
      </c>
      <c r="D50" s="216">
        <v>260000</v>
      </c>
      <c r="E50" s="218"/>
      <c r="F50" s="164" t="s">
        <v>13</v>
      </c>
      <c r="G50" s="164"/>
    </row>
    <row r="51" spans="1:8" ht="15" thickBot="1">
      <c r="A51" s="209" t="s">
        <v>25</v>
      </c>
      <c r="B51" s="209"/>
      <c r="C51" s="61" t="s">
        <v>117</v>
      </c>
      <c r="D51" s="169" t="s">
        <v>1</v>
      </c>
      <c r="E51" s="170"/>
      <c r="F51" s="169" t="s">
        <v>2</v>
      </c>
      <c r="G51" s="170"/>
      <c r="H51" s="1"/>
    </row>
    <row r="52" spans="1:8" s="17" customFormat="1">
      <c r="A52" s="78"/>
      <c r="B52" s="68" t="s">
        <v>26</v>
      </c>
      <c r="C52" s="34" t="s">
        <v>27</v>
      </c>
      <c r="D52" s="160">
        <v>910</v>
      </c>
      <c r="E52" s="184"/>
      <c r="F52" s="164">
        <v>980</v>
      </c>
      <c r="G52" s="164"/>
    </row>
    <row r="53" spans="1:8" s="17" customFormat="1">
      <c r="A53" s="32"/>
      <c r="B53" s="34" t="s">
        <v>26</v>
      </c>
      <c r="C53" s="34" t="s">
        <v>34</v>
      </c>
      <c r="D53" s="160">
        <v>18200</v>
      </c>
      <c r="E53" s="184"/>
      <c r="F53" s="164" t="s">
        <v>13</v>
      </c>
      <c r="G53" s="164"/>
    </row>
    <row r="54" spans="1:8" s="17" customFormat="1">
      <c r="A54" s="32"/>
      <c r="B54" s="34" t="s">
        <v>29</v>
      </c>
      <c r="C54" s="34" t="s">
        <v>27</v>
      </c>
      <c r="D54" s="160">
        <v>910</v>
      </c>
      <c r="E54" s="184"/>
      <c r="F54" s="164">
        <v>980</v>
      </c>
      <c r="G54" s="164"/>
    </row>
    <row r="55" spans="1:8" s="17" customFormat="1">
      <c r="A55" s="32"/>
      <c r="B55" s="34" t="s">
        <v>29</v>
      </c>
      <c r="C55" s="34" t="s">
        <v>34</v>
      </c>
      <c r="D55" s="160">
        <v>18200</v>
      </c>
      <c r="E55" s="184"/>
      <c r="F55" s="164" t="s">
        <v>13</v>
      </c>
      <c r="G55" s="164"/>
    </row>
    <row r="56" spans="1:8" s="17" customFormat="1">
      <c r="A56" s="32"/>
      <c r="B56" s="34" t="s">
        <v>30</v>
      </c>
      <c r="C56" s="34" t="s">
        <v>27</v>
      </c>
      <c r="D56" s="160">
        <v>910</v>
      </c>
      <c r="E56" s="184"/>
      <c r="F56" s="164">
        <v>980</v>
      </c>
      <c r="G56" s="164"/>
    </row>
    <row r="57" spans="1:8" s="17" customFormat="1">
      <c r="A57" s="32"/>
      <c r="B57" s="34" t="s">
        <v>30</v>
      </c>
      <c r="C57" s="34" t="s">
        <v>34</v>
      </c>
      <c r="D57" s="160">
        <v>18200</v>
      </c>
      <c r="E57" s="184"/>
      <c r="F57" s="164" t="s">
        <v>13</v>
      </c>
      <c r="G57" s="164"/>
    </row>
    <row r="58" spans="1:8" s="17" customFormat="1">
      <c r="A58" s="32"/>
      <c r="B58" s="34" t="s">
        <v>31</v>
      </c>
      <c r="C58" s="34" t="s">
        <v>27</v>
      </c>
      <c r="D58" s="160">
        <v>970</v>
      </c>
      <c r="E58" s="184"/>
      <c r="F58" s="164">
        <v>1100</v>
      </c>
      <c r="G58" s="164"/>
    </row>
    <row r="59" spans="1:8" s="17" customFormat="1">
      <c r="A59" s="32"/>
      <c r="B59" s="34" t="s">
        <v>31</v>
      </c>
      <c r="C59" s="34" t="s">
        <v>34</v>
      </c>
      <c r="D59" s="160">
        <v>19400</v>
      </c>
      <c r="E59" s="161"/>
      <c r="F59" s="221" t="s">
        <v>13</v>
      </c>
      <c r="G59" s="222"/>
    </row>
    <row r="60" spans="1:8" s="17" customFormat="1">
      <c r="A60" s="32"/>
      <c r="B60" s="34" t="s">
        <v>32</v>
      </c>
      <c r="C60" s="34" t="s">
        <v>27</v>
      </c>
      <c r="D60" s="160">
        <v>1040</v>
      </c>
      <c r="E60" s="161"/>
      <c r="F60" s="221">
        <v>1200</v>
      </c>
      <c r="G60" s="222"/>
    </row>
    <row r="61" spans="1:8" s="17" customFormat="1">
      <c r="A61" s="32"/>
      <c r="B61" s="34" t="s">
        <v>32</v>
      </c>
      <c r="C61" s="34" t="s">
        <v>34</v>
      </c>
      <c r="D61" s="160">
        <v>20800</v>
      </c>
      <c r="E61" s="161"/>
      <c r="F61" s="221" t="s">
        <v>13</v>
      </c>
      <c r="G61" s="222"/>
    </row>
    <row r="62" spans="1:8" s="17" customFormat="1" ht="15" thickBot="1">
      <c r="A62" s="32"/>
      <c r="B62" s="34" t="s">
        <v>33</v>
      </c>
      <c r="C62" s="34" t="s">
        <v>34</v>
      </c>
      <c r="D62" s="172">
        <v>32800</v>
      </c>
      <c r="E62" s="196"/>
      <c r="F62" s="223" t="s">
        <v>13</v>
      </c>
      <c r="G62" s="224"/>
    </row>
    <row r="63" spans="1:8" ht="15" thickBot="1">
      <c r="A63" s="190" t="s">
        <v>274</v>
      </c>
      <c r="B63" s="194"/>
      <c r="C63" s="61" t="s">
        <v>117</v>
      </c>
      <c r="D63" s="169" t="s">
        <v>1</v>
      </c>
      <c r="E63" s="170"/>
      <c r="F63" s="169" t="s">
        <v>2</v>
      </c>
      <c r="G63" s="170"/>
    </row>
    <row r="64" spans="1:8" s="17" customFormat="1">
      <c r="A64" s="32"/>
      <c r="B64" s="34" t="s">
        <v>397</v>
      </c>
      <c r="C64" s="81" t="s">
        <v>396</v>
      </c>
      <c r="D64" s="167">
        <v>94000</v>
      </c>
      <c r="E64" s="168"/>
      <c r="F64" s="225">
        <f>(D64/(1/(0.12*0.6*0.2)))*1.3</f>
        <v>1759.6800000000003</v>
      </c>
      <c r="G64" s="226"/>
    </row>
    <row r="65" spans="1:7" s="17" customFormat="1">
      <c r="A65" s="32"/>
      <c r="B65" s="34" t="s">
        <v>388</v>
      </c>
      <c r="C65" s="81" t="s">
        <v>396</v>
      </c>
      <c r="D65" s="160">
        <v>94000</v>
      </c>
      <c r="E65" s="161"/>
      <c r="F65" s="228">
        <f>(D65/(1/(0.12*0.6*0.3)))*1.3</f>
        <v>2639.5199999999995</v>
      </c>
      <c r="G65" s="229"/>
    </row>
    <row r="66" spans="1:7" s="17" customFormat="1">
      <c r="A66" s="32"/>
      <c r="B66" s="34" t="s">
        <v>389</v>
      </c>
      <c r="C66" s="81" t="s">
        <v>396</v>
      </c>
      <c r="D66" s="160">
        <v>94000</v>
      </c>
      <c r="E66" s="161"/>
      <c r="F66" s="228">
        <f>(D66/(1/(0.12*0.6*0.4)))*1.3</f>
        <v>3519.3600000000006</v>
      </c>
      <c r="G66" s="229"/>
    </row>
    <row r="67" spans="1:7" s="17" customFormat="1">
      <c r="A67" s="32"/>
      <c r="B67" s="34" t="s">
        <v>390</v>
      </c>
      <c r="C67" s="81" t="s">
        <v>396</v>
      </c>
      <c r="D67" s="160">
        <v>94000</v>
      </c>
      <c r="E67" s="161"/>
      <c r="F67" s="228">
        <f>(D67/(1/(0.12*0.6*0.5)))*1.3</f>
        <v>4399.2</v>
      </c>
      <c r="G67" s="229"/>
    </row>
    <row r="68" spans="1:7" s="17" customFormat="1">
      <c r="A68" s="32"/>
      <c r="B68" s="34" t="s">
        <v>391</v>
      </c>
      <c r="C68" s="81" t="s">
        <v>396</v>
      </c>
      <c r="D68" s="160">
        <v>94000</v>
      </c>
      <c r="E68" s="161"/>
      <c r="F68" s="228">
        <f>(D68/(1/(0.12*0.6*0.6)))*1.3</f>
        <v>5279.0399999999991</v>
      </c>
      <c r="G68" s="229"/>
    </row>
    <row r="69" spans="1:7" s="17" customFormat="1">
      <c r="A69" s="32"/>
      <c r="B69" s="34" t="s">
        <v>392</v>
      </c>
      <c r="C69" s="81" t="s">
        <v>396</v>
      </c>
      <c r="D69" s="160">
        <v>94000</v>
      </c>
      <c r="E69" s="161"/>
      <c r="F69" s="228">
        <f>(D69/(1/(0.12*0.6*0.7)))*1.3</f>
        <v>6158.8799999999992</v>
      </c>
      <c r="G69" s="229"/>
    </row>
    <row r="70" spans="1:7" s="17" customFormat="1">
      <c r="A70" s="32"/>
      <c r="B70" s="34" t="s">
        <v>393</v>
      </c>
      <c r="C70" s="81" t="s">
        <v>396</v>
      </c>
      <c r="D70" s="160">
        <v>94000</v>
      </c>
      <c r="E70" s="161"/>
      <c r="F70" s="228">
        <f>(D70/(1/(0.12*0.6*0.8)))*1.3</f>
        <v>7038.7200000000012</v>
      </c>
      <c r="G70" s="229"/>
    </row>
    <row r="71" spans="1:7" s="17" customFormat="1">
      <c r="A71" s="32"/>
      <c r="B71" s="34" t="s">
        <v>394</v>
      </c>
      <c r="C71" s="81" t="s">
        <v>396</v>
      </c>
      <c r="D71" s="160">
        <v>94000</v>
      </c>
      <c r="E71" s="161"/>
      <c r="F71" s="228">
        <f>(D71/(1/(0.12*0.6*0.9)))*1.3</f>
        <v>7918.56</v>
      </c>
      <c r="G71" s="229"/>
    </row>
    <row r="72" spans="1:7" s="17" customFormat="1">
      <c r="A72" s="32"/>
      <c r="B72" s="34" t="s">
        <v>395</v>
      </c>
      <c r="C72" s="81" t="s">
        <v>396</v>
      </c>
      <c r="D72" s="216">
        <v>94000</v>
      </c>
      <c r="E72" s="227"/>
      <c r="F72" s="228">
        <f>(D72/(1/(0.12*0.6*1)))*1.3</f>
        <v>8798.4</v>
      </c>
      <c r="G72" s="229"/>
    </row>
    <row r="73" spans="1:7" s="17" customFormat="1" ht="15" thickBot="1">
      <c r="A73" s="32"/>
      <c r="B73" s="34" t="s">
        <v>398</v>
      </c>
      <c r="C73" s="80" t="s">
        <v>396</v>
      </c>
      <c r="D73" s="230">
        <v>16800</v>
      </c>
      <c r="E73" s="231"/>
      <c r="F73" s="221" t="s">
        <v>13</v>
      </c>
      <c r="G73" s="222"/>
    </row>
    <row r="74" spans="1:7" ht="15" thickBot="1">
      <c r="A74" s="190" t="s">
        <v>275</v>
      </c>
      <c r="B74" s="194"/>
      <c r="C74" s="61" t="s">
        <v>117</v>
      </c>
      <c r="D74" s="169" t="s">
        <v>1</v>
      </c>
      <c r="E74" s="170"/>
      <c r="F74" s="169" t="s">
        <v>2</v>
      </c>
      <c r="G74" s="170"/>
    </row>
    <row r="75" spans="1:7" s="17" customFormat="1">
      <c r="A75" s="32"/>
      <c r="B75" s="34" t="s">
        <v>35</v>
      </c>
      <c r="C75" s="34" t="s">
        <v>36</v>
      </c>
      <c r="D75" s="160">
        <v>43650</v>
      </c>
      <c r="E75" s="184"/>
      <c r="F75" s="164">
        <v>46800</v>
      </c>
      <c r="G75" s="164"/>
    </row>
    <row r="76" spans="1:7" s="17" customFormat="1" ht="15" thickBot="1">
      <c r="A76" s="32"/>
      <c r="B76" s="34" t="s">
        <v>37</v>
      </c>
      <c r="C76" s="34" t="s">
        <v>38</v>
      </c>
      <c r="D76" s="160">
        <v>21420</v>
      </c>
      <c r="E76" s="184"/>
      <c r="F76" s="164">
        <v>26800</v>
      </c>
      <c r="G76" s="164"/>
    </row>
    <row r="77" spans="1:7" ht="15" thickBot="1">
      <c r="A77" s="190" t="s">
        <v>276</v>
      </c>
      <c r="B77" s="194"/>
      <c r="C77" s="61" t="s">
        <v>117</v>
      </c>
      <c r="D77" s="169" t="s">
        <v>1</v>
      </c>
      <c r="E77" s="170"/>
      <c r="F77" s="169" t="s">
        <v>2</v>
      </c>
      <c r="G77" s="170"/>
    </row>
    <row r="78" spans="1:7" s="17" customFormat="1">
      <c r="A78" s="32"/>
      <c r="B78" s="34" t="s">
        <v>39</v>
      </c>
      <c r="C78" s="83" t="s">
        <v>34</v>
      </c>
      <c r="D78" s="183">
        <v>118000</v>
      </c>
      <c r="E78" s="183"/>
      <c r="F78" s="164" t="s">
        <v>13</v>
      </c>
      <c r="G78" s="164"/>
    </row>
    <row r="79" spans="1:7" s="17" customFormat="1">
      <c r="A79" s="70"/>
      <c r="B79" s="71" t="s">
        <v>40</v>
      </c>
      <c r="C79" s="85" t="s">
        <v>34</v>
      </c>
      <c r="D79" s="183">
        <v>46400</v>
      </c>
      <c r="E79" s="183"/>
      <c r="F79" s="164" t="s">
        <v>13</v>
      </c>
      <c r="G79" s="164"/>
    </row>
    <row r="80" spans="1:7" s="17" customFormat="1">
      <c r="A80" s="32"/>
      <c r="B80" s="34" t="s">
        <v>41</v>
      </c>
      <c r="C80" s="83" t="s">
        <v>56</v>
      </c>
      <c r="D80" s="183">
        <v>340000</v>
      </c>
      <c r="E80" s="183"/>
      <c r="F80" s="164" t="s">
        <v>13</v>
      </c>
      <c r="G80" s="164"/>
    </row>
    <row r="81" spans="1:7" s="17" customFormat="1">
      <c r="A81" s="32"/>
      <c r="B81" s="34" t="s">
        <v>42</v>
      </c>
      <c r="C81" s="83" t="s">
        <v>56</v>
      </c>
      <c r="D81" s="183">
        <v>320200</v>
      </c>
      <c r="E81" s="183"/>
      <c r="F81" s="164" t="s">
        <v>13</v>
      </c>
      <c r="G81" s="164"/>
    </row>
    <row r="82" spans="1:7" s="17" customFormat="1">
      <c r="A82" s="32"/>
      <c r="B82" s="34" t="s">
        <v>43</v>
      </c>
      <c r="C82" s="83" t="s">
        <v>56</v>
      </c>
      <c r="D82" s="183">
        <v>320800</v>
      </c>
      <c r="E82" s="183"/>
      <c r="F82" s="164" t="s">
        <v>13</v>
      </c>
      <c r="G82" s="164"/>
    </row>
    <row r="83" spans="1:7" s="17" customFormat="1">
      <c r="A83" s="32"/>
      <c r="B83" s="34" t="s">
        <v>44</v>
      </c>
      <c r="C83" s="83" t="s">
        <v>56</v>
      </c>
      <c r="D83" s="183">
        <v>320900</v>
      </c>
      <c r="E83" s="183"/>
      <c r="F83" s="164" t="s">
        <v>13</v>
      </c>
      <c r="G83" s="164"/>
    </row>
    <row r="84" spans="1:7" s="17" customFormat="1">
      <c r="A84" s="32"/>
      <c r="B84" s="34" t="s">
        <v>45</v>
      </c>
      <c r="C84" s="83" t="s">
        <v>56</v>
      </c>
      <c r="D84" s="183">
        <v>320900</v>
      </c>
      <c r="E84" s="183"/>
      <c r="F84" s="164" t="s">
        <v>13</v>
      </c>
      <c r="G84" s="164"/>
    </row>
    <row r="85" spans="1:7" s="17" customFormat="1" ht="15" thickBot="1">
      <c r="A85" s="78"/>
      <c r="B85" s="84" t="s">
        <v>46</v>
      </c>
      <c r="C85" s="83" t="s">
        <v>56</v>
      </c>
      <c r="D85" s="183">
        <v>320900</v>
      </c>
      <c r="E85" s="183"/>
      <c r="F85" s="164" t="s">
        <v>13</v>
      </c>
      <c r="G85" s="164"/>
    </row>
    <row r="86" spans="1:7" ht="15" thickBot="1">
      <c r="A86" s="190" t="s">
        <v>278</v>
      </c>
      <c r="B86" s="194"/>
      <c r="C86" s="61" t="s">
        <v>117</v>
      </c>
      <c r="D86" s="169" t="s">
        <v>462</v>
      </c>
      <c r="E86" s="170"/>
      <c r="F86" s="169" t="s">
        <v>460</v>
      </c>
      <c r="G86" s="170"/>
    </row>
    <row r="87" spans="1:7" s="17" customFormat="1">
      <c r="A87" s="32"/>
      <c r="B87" s="34" t="s">
        <v>47</v>
      </c>
      <c r="C87" s="34" t="s">
        <v>153</v>
      </c>
      <c r="D87" s="160">
        <v>138000</v>
      </c>
      <c r="E87" s="185"/>
      <c r="F87" s="41">
        <v>148</v>
      </c>
      <c r="G87" s="86" t="s">
        <v>13</v>
      </c>
    </row>
    <row r="88" spans="1:7" s="17" customFormat="1">
      <c r="A88" s="32"/>
      <c r="B88" s="34" t="s">
        <v>48</v>
      </c>
      <c r="C88" s="34" t="s">
        <v>153</v>
      </c>
      <c r="D88" s="160">
        <v>138000</v>
      </c>
      <c r="E88" s="185"/>
      <c r="F88" s="41">
        <v>148</v>
      </c>
      <c r="G88" s="86" t="s">
        <v>13</v>
      </c>
    </row>
    <row r="89" spans="1:7" s="17" customFormat="1">
      <c r="A89" s="32"/>
      <c r="B89" s="34" t="s">
        <v>49</v>
      </c>
      <c r="C89" s="34" t="s">
        <v>153</v>
      </c>
      <c r="D89" s="186">
        <v>320000</v>
      </c>
      <c r="E89" s="187"/>
      <c r="F89" s="164" t="s">
        <v>13</v>
      </c>
      <c r="G89" s="164"/>
    </row>
    <row r="90" spans="1:7" s="17" customFormat="1">
      <c r="A90" s="32"/>
      <c r="B90" s="34" t="s">
        <v>50</v>
      </c>
      <c r="C90" s="83" t="s">
        <v>447</v>
      </c>
      <c r="D90" s="87">
        <v>960</v>
      </c>
      <c r="E90" s="87" t="s">
        <v>13</v>
      </c>
      <c r="F90" s="164" t="s">
        <v>13</v>
      </c>
      <c r="G90" s="164"/>
    </row>
    <row r="91" spans="1:7" s="17" customFormat="1" ht="15" thickBot="1">
      <c r="A91" s="32"/>
      <c r="B91" s="34" t="s">
        <v>51</v>
      </c>
      <c r="C91" s="83" t="s">
        <v>447</v>
      </c>
      <c r="D91" s="87">
        <v>1040</v>
      </c>
      <c r="E91" s="87" t="s">
        <v>13</v>
      </c>
      <c r="F91" s="164" t="s">
        <v>13</v>
      </c>
      <c r="G91" s="164"/>
    </row>
    <row r="92" spans="1:7" ht="15" thickBot="1">
      <c r="A92" s="192" t="s">
        <v>277</v>
      </c>
      <c r="B92" s="195"/>
      <c r="C92" s="61" t="s">
        <v>117</v>
      </c>
      <c r="D92" s="169" t="s">
        <v>1</v>
      </c>
      <c r="E92" s="170"/>
      <c r="F92" s="169" t="s">
        <v>461</v>
      </c>
      <c r="G92" s="170"/>
    </row>
    <row r="93" spans="1:7" s="17" customFormat="1">
      <c r="A93" s="32"/>
      <c r="B93" s="34" t="s">
        <v>52</v>
      </c>
      <c r="C93" s="34" t="s">
        <v>396</v>
      </c>
      <c r="D93" s="160">
        <v>49800</v>
      </c>
      <c r="E93" s="184"/>
      <c r="F93" s="164">
        <v>720</v>
      </c>
      <c r="G93" s="164"/>
    </row>
    <row r="94" spans="1:7" s="17" customFormat="1">
      <c r="A94" s="32"/>
      <c r="B94" s="34" t="s">
        <v>53</v>
      </c>
      <c r="C94" s="34" t="s">
        <v>396</v>
      </c>
      <c r="D94" s="160">
        <v>98000</v>
      </c>
      <c r="E94" s="184"/>
      <c r="F94" s="164">
        <v>2890</v>
      </c>
      <c r="G94" s="164"/>
    </row>
    <row r="95" spans="1:7" s="17" customFormat="1">
      <c r="A95" s="32"/>
      <c r="B95" s="34" t="s">
        <v>54</v>
      </c>
      <c r="C95" s="34" t="s">
        <v>396</v>
      </c>
      <c r="D95" s="160">
        <v>5800</v>
      </c>
      <c r="E95" s="184"/>
      <c r="F95" s="164" t="s">
        <v>13</v>
      </c>
      <c r="G95" s="164"/>
    </row>
    <row r="96" spans="1:7" s="17" customFormat="1">
      <c r="A96" s="32"/>
      <c r="B96" s="34" t="s">
        <v>451</v>
      </c>
      <c r="C96" s="34" t="s">
        <v>153</v>
      </c>
      <c r="D96" s="160">
        <v>17800</v>
      </c>
      <c r="E96" s="184"/>
      <c r="F96" s="164">
        <v>500</v>
      </c>
      <c r="G96" s="164"/>
    </row>
    <row r="97" spans="1:7" s="17" customFormat="1" ht="15" customHeight="1" thickBot="1">
      <c r="A97" s="32"/>
      <c r="B97" s="34" t="s">
        <v>57</v>
      </c>
      <c r="C97" s="34" t="s">
        <v>153</v>
      </c>
      <c r="D97" s="160">
        <v>9960</v>
      </c>
      <c r="E97" s="184"/>
      <c r="F97" s="164" t="s">
        <v>13</v>
      </c>
      <c r="G97" s="164"/>
    </row>
    <row r="98" spans="1:7" ht="15" thickBot="1">
      <c r="A98" s="190" t="s">
        <v>58</v>
      </c>
      <c r="B98" s="191"/>
      <c r="C98" s="61" t="s">
        <v>117</v>
      </c>
      <c r="D98" s="169" t="s">
        <v>1</v>
      </c>
      <c r="E98" s="170"/>
      <c r="F98" s="169" t="s">
        <v>461</v>
      </c>
      <c r="G98" s="170"/>
    </row>
    <row r="99" spans="1:7" s="17" customFormat="1">
      <c r="A99" s="32"/>
      <c r="B99" s="34" t="s">
        <v>91</v>
      </c>
      <c r="C99" s="34" t="s">
        <v>56</v>
      </c>
      <c r="D99" s="167">
        <v>38600</v>
      </c>
      <c r="E99" s="171"/>
      <c r="F99" s="174">
        <v>920</v>
      </c>
      <c r="G99" s="174"/>
    </row>
    <row r="100" spans="1:7" s="17" customFormat="1" ht="15" thickBot="1">
      <c r="A100" s="32"/>
      <c r="B100" s="34" t="s">
        <v>59</v>
      </c>
      <c r="C100" s="34" t="s">
        <v>56</v>
      </c>
      <c r="D100" s="172">
        <v>89200</v>
      </c>
      <c r="E100" s="173"/>
      <c r="F100" s="175">
        <v>2100</v>
      </c>
      <c r="G100" s="175"/>
    </row>
    <row r="101" spans="1:7" ht="15" thickBot="1">
      <c r="A101" s="190" t="s">
        <v>60</v>
      </c>
      <c r="B101" s="191"/>
      <c r="C101" s="61" t="s">
        <v>117</v>
      </c>
      <c r="D101" s="169" t="s">
        <v>1</v>
      </c>
      <c r="E101" s="170"/>
      <c r="F101" s="169" t="s">
        <v>461</v>
      </c>
      <c r="G101" s="170"/>
    </row>
    <row r="102" spans="1:7" s="17" customFormat="1">
      <c r="A102" s="32"/>
      <c r="B102" s="34" t="s">
        <v>61</v>
      </c>
      <c r="C102" s="34" t="s">
        <v>27</v>
      </c>
      <c r="D102" s="179">
        <v>36800</v>
      </c>
      <c r="E102" s="180"/>
      <c r="F102" s="177">
        <v>1920</v>
      </c>
      <c r="G102" s="178"/>
    </row>
    <row r="103" spans="1:7" s="17" customFormat="1">
      <c r="A103" s="32"/>
      <c r="B103" s="34" t="s">
        <v>473</v>
      </c>
      <c r="C103" s="83" t="s">
        <v>102</v>
      </c>
      <c r="D103" s="183">
        <v>86200</v>
      </c>
      <c r="E103" s="183"/>
      <c r="F103" s="176" t="s">
        <v>13</v>
      </c>
      <c r="G103" s="176"/>
    </row>
    <row r="104" spans="1:7" s="17" customFormat="1">
      <c r="A104" s="32"/>
      <c r="B104" s="34" t="s">
        <v>63</v>
      </c>
      <c r="C104" s="34" t="s">
        <v>478</v>
      </c>
      <c r="D104" s="181">
        <v>146</v>
      </c>
      <c r="E104" s="182"/>
      <c r="F104" s="174" t="s">
        <v>13</v>
      </c>
      <c r="G104" s="174"/>
    </row>
    <row r="105" spans="1:7" s="17" customFormat="1">
      <c r="A105" s="32"/>
      <c r="B105" s="34" t="s">
        <v>64</v>
      </c>
      <c r="C105" s="34" t="s">
        <v>478</v>
      </c>
      <c r="D105" s="160">
        <v>386</v>
      </c>
      <c r="E105" s="161"/>
      <c r="F105" s="164" t="s">
        <v>13</v>
      </c>
      <c r="G105" s="164"/>
    </row>
    <row r="106" spans="1:7" s="17" customFormat="1">
      <c r="A106" s="32"/>
      <c r="B106" s="34" t="s">
        <v>62</v>
      </c>
      <c r="C106" s="34" t="s">
        <v>411</v>
      </c>
      <c r="D106" s="160">
        <v>128</v>
      </c>
      <c r="E106" s="161"/>
      <c r="F106" s="164" t="s">
        <v>13</v>
      </c>
      <c r="G106" s="164"/>
    </row>
    <row r="107" spans="1:7" s="17" customFormat="1" ht="15" thickBot="1">
      <c r="A107" s="32"/>
      <c r="B107" s="34" t="s">
        <v>65</v>
      </c>
      <c r="C107" s="34" t="s">
        <v>474</v>
      </c>
      <c r="D107" s="160">
        <v>780</v>
      </c>
      <c r="E107" s="161"/>
      <c r="F107" s="164" t="s">
        <v>13</v>
      </c>
      <c r="G107" s="164"/>
    </row>
    <row r="108" spans="1:7" ht="15" thickBot="1">
      <c r="A108" s="190" t="s">
        <v>67</v>
      </c>
      <c r="B108" s="191"/>
      <c r="C108" s="61" t="s">
        <v>117</v>
      </c>
      <c r="D108" s="169" t="s">
        <v>1</v>
      </c>
      <c r="E108" s="170"/>
      <c r="F108" s="169" t="s">
        <v>2</v>
      </c>
      <c r="G108" s="170"/>
    </row>
    <row r="109" spans="1:7" s="17" customFormat="1">
      <c r="A109" s="32"/>
      <c r="B109" s="34" t="s">
        <v>68</v>
      </c>
      <c r="C109" s="34" t="s">
        <v>153</v>
      </c>
      <c r="D109" s="167">
        <v>48000</v>
      </c>
      <c r="E109" s="168"/>
      <c r="F109" s="164" t="s">
        <v>13</v>
      </c>
      <c r="G109" s="164"/>
    </row>
    <row r="110" spans="1:7" s="17" customFormat="1" ht="15" thickBot="1">
      <c r="A110" s="32"/>
      <c r="B110" s="34" t="s">
        <v>69</v>
      </c>
      <c r="C110" s="34" t="s">
        <v>153</v>
      </c>
      <c r="D110" s="172">
        <v>48000</v>
      </c>
      <c r="E110" s="196"/>
      <c r="F110" s="164" t="s">
        <v>13</v>
      </c>
      <c r="G110" s="164"/>
    </row>
    <row r="111" spans="1:7" ht="15" thickBot="1">
      <c r="A111" s="192" t="s">
        <v>70</v>
      </c>
      <c r="B111" s="193"/>
      <c r="C111" s="61" t="s">
        <v>117</v>
      </c>
      <c r="D111" s="169" t="s">
        <v>1</v>
      </c>
      <c r="E111" s="170"/>
      <c r="F111" s="169" t="s">
        <v>2</v>
      </c>
      <c r="G111" s="170"/>
    </row>
    <row r="112" spans="1:7" s="17" customFormat="1">
      <c r="A112" s="32"/>
      <c r="B112" s="34" t="s">
        <v>560</v>
      </c>
      <c r="C112" s="34" t="s">
        <v>396</v>
      </c>
      <c r="D112" s="167">
        <v>24000</v>
      </c>
      <c r="E112" s="168"/>
      <c r="F112" s="164" t="s">
        <v>13</v>
      </c>
      <c r="G112" s="164"/>
    </row>
    <row r="113" spans="1:7" s="17" customFormat="1">
      <c r="A113" s="32"/>
      <c r="B113" s="34" t="s">
        <v>71</v>
      </c>
      <c r="C113" s="34" t="s">
        <v>27</v>
      </c>
      <c r="D113" s="160">
        <v>8200</v>
      </c>
      <c r="E113" s="161"/>
      <c r="F113" s="164" t="s">
        <v>93</v>
      </c>
      <c r="G113" s="164"/>
    </row>
    <row r="114" spans="1:7" s="17" customFormat="1">
      <c r="A114" s="32"/>
      <c r="B114" s="34" t="s">
        <v>72</v>
      </c>
      <c r="C114" s="34" t="s">
        <v>56</v>
      </c>
      <c r="D114" s="160">
        <v>26200</v>
      </c>
      <c r="E114" s="161"/>
      <c r="F114" s="164" t="s">
        <v>94</v>
      </c>
      <c r="G114" s="164"/>
    </row>
    <row r="115" spans="1:7" s="17" customFormat="1">
      <c r="A115" s="32"/>
      <c r="B115" s="34" t="s">
        <v>73</v>
      </c>
      <c r="C115" s="34" t="s">
        <v>27</v>
      </c>
      <c r="D115" s="160">
        <v>8600</v>
      </c>
      <c r="E115" s="161"/>
      <c r="F115" s="164" t="s">
        <v>74</v>
      </c>
      <c r="G115" s="164"/>
    </row>
    <row r="116" spans="1:7" s="17" customFormat="1">
      <c r="A116" s="32"/>
      <c r="B116" s="34" t="s">
        <v>75</v>
      </c>
      <c r="C116" s="34" t="s">
        <v>76</v>
      </c>
      <c r="D116" s="160">
        <v>13600</v>
      </c>
      <c r="E116" s="161"/>
      <c r="F116" s="164" t="s">
        <v>96</v>
      </c>
      <c r="G116" s="164"/>
    </row>
    <row r="117" spans="1:7" s="17" customFormat="1">
      <c r="A117" s="70"/>
      <c r="B117" s="71" t="s">
        <v>78</v>
      </c>
      <c r="C117" s="71" t="s">
        <v>92</v>
      </c>
      <c r="D117" s="160" t="s">
        <v>564</v>
      </c>
      <c r="E117" s="161"/>
      <c r="F117" s="164" t="s">
        <v>95</v>
      </c>
      <c r="G117" s="164"/>
    </row>
    <row r="118" spans="1:7" s="17" customFormat="1">
      <c r="A118" s="32"/>
      <c r="B118" s="34" t="s">
        <v>79</v>
      </c>
      <c r="C118" s="34" t="s">
        <v>92</v>
      </c>
      <c r="D118" s="160" t="s">
        <v>564</v>
      </c>
      <c r="E118" s="161"/>
      <c r="F118" s="164" t="s">
        <v>95</v>
      </c>
      <c r="G118" s="164"/>
    </row>
    <row r="119" spans="1:7" s="17" customFormat="1">
      <c r="A119" s="78"/>
      <c r="B119" s="68" t="s">
        <v>80</v>
      </c>
      <c r="C119" s="68" t="s">
        <v>81</v>
      </c>
      <c r="D119" s="160" t="s">
        <v>571</v>
      </c>
      <c r="E119" s="161"/>
      <c r="F119" s="164" t="s">
        <v>13</v>
      </c>
      <c r="G119" s="164"/>
    </row>
    <row r="120" spans="1:7" s="17" customFormat="1">
      <c r="A120" s="32"/>
      <c r="B120" s="34" t="s">
        <v>106</v>
      </c>
      <c r="C120" s="34" t="s">
        <v>107</v>
      </c>
      <c r="D120" s="160" t="s">
        <v>562</v>
      </c>
      <c r="E120" s="161"/>
      <c r="F120" s="164" t="s">
        <v>13</v>
      </c>
      <c r="G120" s="164"/>
    </row>
    <row r="121" spans="1:7" s="17" customFormat="1">
      <c r="A121" s="32"/>
      <c r="B121" s="34" t="s">
        <v>104</v>
      </c>
      <c r="C121" s="34" t="s">
        <v>105</v>
      </c>
      <c r="D121" s="160" t="s">
        <v>563</v>
      </c>
      <c r="E121" s="161"/>
      <c r="F121" s="164" t="s">
        <v>13</v>
      </c>
      <c r="G121" s="164"/>
    </row>
    <row r="122" spans="1:7" s="17" customFormat="1">
      <c r="A122" s="32"/>
      <c r="B122" s="34" t="s">
        <v>109</v>
      </c>
      <c r="C122" s="34" t="s">
        <v>110</v>
      </c>
      <c r="D122" s="160" t="s">
        <v>562</v>
      </c>
      <c r="E122" s="161"/>
      <c r="F122" s="164" t="s">
        <v>13</v>
      </c>
      <c r="G122" s="164"/>
    </row>
    <row r="123" spans="1:7" s="17" customFormat="1">
      <c r="A123" s="32"/>
      <c r="B123" s="34" t="s">
        <v>108</v>
      </c>
      <c r="C123" s="34" t="s">
        <v>113</v>
      </c>
      <c r="D123" s="160" t="s">
        <v>114</v>
      </c>
      <c r="E123" s="161"/>
      <c r="F123" s="164" t="s">
        <v>13</v>
      </c>
      <c r="G123" s="164"/>
    </row>
    <row r="124" spans="1:7" s="17" customFormat="1">
      <c r="A124" s="32"/>
      <c r="B124" s="34" t="s">
        <v>111</v>
      </c>
      <c r="C124" s="34" t="s">
        <v>112</v>
      </c>
      <c r="D124" s="162" t="s">
        <v>561</v>
      </c>
      <c r="E124" s="163"/>
      <c r="F124" s="164" t="s">
        <v>13</v>
      </c>
      <c r="G124" s="164"/>
    </row>
    <row r="125" spans="1:7" s="17" customFormat="1">
      <c r="A125" s="32"/>
      <c r="B125" s="34" t="s">
        <v>87</v>
      </c>
      <c r="C125" s="34"/>
      <c r="D125" s="160" t="s">
        <v>565</v>
      </c>
      <c r="E125" s="161"/>
      <c r="F125" s="164" t="s">
        <v>13</v>
      </c>
      <c r="G125" s="164"/>
    </row>
    <row r="126" spans="1:7" s="17" customFormat="1">
      <c r="A126" s="32"/>
      <c r="B126" s="34" t="s">
        <v>88</v>
      </c>
      <c r="C126" s="34" t="s">
        <v>89</v>
      </c>
      <c r="D126" s="160" t="s">
        <v>566</v>
      </c>
      <c r="E126" s="161"/>
      <c r="F126" s="164" t="s">
        <v>13</v>
      </c>
      <c r="G126" s="164"/>
    </row>
    <row r="127" spans="1:7" s="17" customFormat="1">
      <c r="A127" s="32"/>
      <c r="B127" s="34" t="s">
        <v>90</v>
      </c>
      <c r="C127" s="34"/>
      <c r="D127" s="160" t="s">
        <v>567</v>
      </c>
      <c r="E127" s="161"/>
      <c r="F127" s="164" t="s">
        <v>13</v>
      </c>
      <c r="G127" s="164"/>
    </row>
    <row r="128" spans="1:7" s="17" customFormat="1">
      <c r="A128" s="32"/>
      <c r="B128" s="34" t="s">
        <v>77</v>
      </c>
      <c r="C128" s="34"/>
      <c r="D128" s="160" t="s">
        <v>568</v>
      </c>
      <c r="E128" s="161"/>
      <c r="F128" s="164" t="s">
        <v>13</v>
      </c>
      <c r="G128" s="164"/>
    </row>
    <row r="129" spans="1:7" s="17" customFormat="1">
      <c r="A129" s="32"/>
      <c r="B129" s="34" t="s">
        <v>99</v>
      </c>
      <c r="C129" s="34" t="s">
        <v>100</v>
      </c>
      <c r="D129" s="160" t="s">
        <v>569</v>
      </c>
      <c r="E129" s="161"/>
      <c r="F129" s="164" t="s">
        <v>13</v>
      </c>
      <c r="G129" s="164"/>
    </row>
    <row r="130" spans="1:7" s="17" customFormat="1">
      <c r="A130" s="32"/>
      <c r="B130" s="34" t="s">
        <v>98</v>
      </c>
      <c r="C130" s="34" t="s">
        <v>97</v>
      </c>
      <c r="D130" s="160" t="s">
        <v>570</v>
      </c>
      <c r="E130" s="161"/>
      <c r="F130" s="164" t="s">
        <v>13</v>
      </c>
      <c r="G130" s="164"/>
    </row>
    <row r="131" spans="1:7" s="17" customFormat="1">
      <c r="A131" s="32"/>
      <c r="B131" s="34" t="s">
        <v>82</v>
      </c>
      <c r="C131" s="34" t="s">
        <v>28</v>
      </c>
      <c r="D131" s="165" t="s">
        <v>13</v>
      </c>
      <c r="E131" s="166"/>
      <c r="F131" s="164" t="s">
        <v>13</v>
      </c>
      <c r="G131" s="164"/>
    </row>
    <row r="132" spans="1:7" s="17" customFormat="1">
      <c r="A132" s="32"/>
      <c r="B132" s="34" t="s">
        <v>83</v>
      </c>
      <c r="C132" s="34" t="s">
        <v>28</v>
      </c>
      <c r="D132" s="165" t="s">
        <v>13</v>
      </c>
      <c r="E132" s="166"/>
      <c r="F132" s="164" t="s">
        <v>13</v>
      </c>
      <c r="G132" s="164"/>
    </row>
    <row r="133" spans="1:7" s="17" customFormat="1">
      <c r="A133" s="32"/>
      <c r="B133" s="34" t="s">
        <v>84</v>
      </c>
      <c r="C133" s="34" t="s">
        <v>28</v>
      </c>
      <c r="D133" s="165" t="s">
        <v>13</v>
      </c>
      <c r="E133" s="166"/>
      <c r="F133" s="164" t="s">
        <v>13</v>
      </c>
      <c r="G133" s="164"/>
    </row>
    <row r="134" spans="1:7" s="17" customFormat="1">
      <c r="A134" s="32"/>
      <c r="B134" s="34" t="s">
        <v>85</v>
      </c>
      <c r="C134" s="34" t="s">
        <v>28</v>
      </c>
      <c r="D134" s="165" t="s">
        <v>13</v>
      </c>
      <c r="E134" s="166"/>
      <c r="F134" s="164" t="s">
        <v>13</v>
      </c>
      <c r="G134" s="164"/>
    </row>
    <row r="135" spans="1:7" s="17" customFormat="1">
      <c r="A135" s="32"/>
      <c r="B135" s="34" t="s">
        <v>86</v>
      </c>
      <c r="C135" s="34" t="s">
        <v>154</v>
      </c>
      <c r="D135" s="160">
        <v>5800</v>
      </c>
      <c r="E135" s="161"/>
      <c r="F135" s="164" t="s">
        <v>13</v>
      </c>
      <c r="G135" s="164"/>
    </row>
  </sheetData>
  <sheetProtection algorithmName="SHA-512" hashValue="W8W74zFbM/1Z9Ze3iAM4lxeXMmDB15UVWtLUO4x+JNGQ/XNGbfgP60QAPjtY2nw+qXEtd3/VGkXMYSJB+U5vNg==" saltValue="FmDLQXJyZxQ6G3aHTn+LFw==" spinCount="100000" sheet="1" scenarios="1" selectLockedCells="1" selectUnlockedCells="1"/>
  <mergeCells count="247">
    <mergeCell ref="D65:E65"/>
    <mergeCell ref="F65:G65"/>
    <mergeCell ref="F67:G67"/>
    <mergeCell ref="F68:G68"/>
    <mergeCell ref="F69:G69"/>
    <mergeCell ref="F70:G70"/>
    <mergeCell ref="F71:G71"/>
    <mergeCell ref="D64:E64"/>
    <mergeCell ref="D73:E73"/>
    <mergeCell ref="F73:G73"/>
    <mergeCell ref="D66:E66"/>
    <mergeCell ref="D67:E67"/>
    <mergeCell ref="D68:E68"/>
    <mergeCell ref="D69:E69"/>
    <mergeCell ref="D70:E70"/>
    <mergeCell ref="D71:E71"/>
    <mergeCell ref="D72:E72"/>
    <mergeCell ref="F66:G66"/>
    <mergeCell ref="F72:G72"/>
    <mergeCell ref="F61:G61"/>
    <mergeCell ref="F62:G62"/>
    <mergeCell ref="D57:E57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D62:E62"/>
    <mergeCell ref="F47:G47"/>
    <mergeCell ref="D51:E51"/>
    <mergeCell ref="F51:G51"/>
    <mergeCell ref="D50:E50"/>
    <mergeCell ref="F48:G48"/>
    <mergeCell ref="F49:G49"/>
    <mergeCell ref="F50:G50"/>
    <mergeCell ref="F45:G45"/>
    <mergeCell ref="F46:G46"/>
    <mergeCell ref="D48:E48"/>
    <mergeCell ref="D49:E49"/>
    <mergeCell ref="D47:E47"/>
    <mergeCell ref="A63:B63"/>
    <mergeCell ref="B20:B21"/>
    <mergeCell ref="A47:B47"/>
    <mergeCell ref="A51:B51"/>
    <mergeCell ref="C20:C21"/>
    <mergeCell ref="D20:E21"/>
    <mergeCell ref="F20:G21"/>
    <mergeCell ref="D29:E29"/>
    <mergeCell ref="D30:E30"/>
    <mergeCell ref="A39:B39"/>
    <mergeCell ref="D40:E40"/>
    <mergeCell ref="D41:E41"/>
    <mergeCell ref="D42:E42"/>
    <mergeCell ref="D43:E43"/>
    <mergeCell ref="D44:E44"/>
    <mergeCell ref="D45:E45"/>
    <mergeCell ref="D46:E46"/>
    <mergeCell ref="F40:G40"/>
    <mergeCell ref="F41:G41"/>
    <mergeCell ref="F42:G42"/>
    <mergeCell ref="F43:G43"/>
    <mergeCell ref="F44:G44"/>
    <mergeCell ref="D39:E39"/>
    <mergeCell ref="F39:G39"/>
    <mergeCell ref="D2:E2"/>
    <mergeCell ref="A1:G1"/>
    <mergeCell ref="F2:G2"/>
    <mergeCell ref="D22:E22"/>
    <mergeCell ref="F22:G22"/>
    <mergeCell ref="A32:B32"/>
    <mergeCell ref="A28:B28"/>
    <mergeCell ref="A24:B24"/>
    <mergeCell ref="A3:B3"/>
    <mergeCell ref="A101:B101"/>
    <mergeCell ref="A108:B108"/>
    <mergeCell ref="A111:B111"/>
    <mergeCell ref="A74:B74"/>
    <mergeCell ref="A77:B77"/>
    <mergeCell ref="A86:B86"/>
    <mergeCell ref="A92:B92"/>
    <mergeCell ref="D75:E75"/>
    <mergeCell ref="D76:E76"/>
    <mergeCell ref="A98:B98"/>
    <mergeCell ref="D82:E82"/>
    <mergeCell ref="D83:E83"/>
    <mergeCell ref="D84:E84"/>
    <mergeCell ref="D85:E85"/>
    <mergeCell ref="D93:E93"/>
    <mergeCell ref="D94:E94"/>
    <mergeCell ref="D95:E95"/>
    <mergeCell ref="D101:E101"/>
    <mergeCell ref="D110:E110"/>
    <mergeCell ref="F26:G26"/>
    <mergeCell ref="F27:G27"/>
    <mergeCell ref="F23:G23"/>
    <mergeCell ref="D23:E23"/>
    <mergeCell ref="D31:E31"/>
    <mergeCell ref="F30:G30"/>
    <mergeCell ref="F31:G31"/>
    <mergeCell ref="D24:E24"/>
    <mergeCell ref="F24:G24"/>
    <mergeCell ref="D28:E28"/>
    <mergeCell ref="F28:G28"/>
    <mergeCell ref="F29:G29"/>
    <mergeCell ref="D25:E25"/>
    <mergeCell ref="D26:E26"/>
    <mergeCell ref="D27:E27"/>
    <mergeCell ref="F25:G25"/>
    <mergeCell ref="F33:G33"/>
    <mergeCell ref="F34:G34"/>
    <mergeCell ref="F35:G35"/>
    <mergeCell ref="F36:G36"/>
    <mergeCell ref="F38:G38"/>
    <mergeCell ref="D37:E37"/>
    <mergeCell ref="F37:G37"/>
    <mergeCell ref="D32:E32"/>
    <mergeCell ref="F32:G32"/>
    <mergeCell ref="D33:E33"/>
    <mergeCell ref="D34:E34"/>
    <mergeCell ref="D35:E35"/>
    <mergeCell ref="D36:E36"/>
    <mergeCell ref="D38:E38"/>
    <mergeCell ref="D63:E63"/>
    <mergeCell ref="F63:G63"/>
    <mergeCell ref="D74:E74"/>
    <mergeCell ref="F74:G74"/>
    <mergeCell ref="D77:E77"/>
    <mergeCell ref="F77:G77"/>
    <mergeCell ref="D86:E86"/>
    <mergeCell ref="F86:G86"/>
    <mergeCell ref="D92:E92"/>
    <mergeCell ref="F92:G92"/>
    <mergeCell ref="D87:E87"/>
    <mergeCell ref="D88:E88"/>
    <mergeCell ref="D89:E89"/>
    <mergeCell ref="F89:G89"/>
    <mergeCell ref="F90:G90"/>
    <mergeCell ref="F91:G91"/>
    <mergeCell ref="F82:G82"/>
    <mergeCell ref="F75:G75"/>
    <mergeCell ref="F76:G76"/>
    <mergeCell ref="F78:G78"/>
    <mergeCell ref="F79:G79"/>
    <mergeCell ref="F80:G80"/>
    <mergeCell ref="F81:G81"/>
    <mergeCell ref="F64:G64"/>
    <mergeCell ref="F83:G83"/>
    <mergeCell ref="F84:G84"/>
    <mergeCell ref="F85:G85"/>
    <mergeCell ref="D78:E78"/>
    <mergeCell ref="D79:E79"/>
    <mergeCell ref="D80:E80"/>
    <mergeCell ref="D81:E81"/>
    <mergeCell ref="D98:E98"/>
    <mergeCell ref="F98:G98"/>
    <mergeCell ref="F95:G95"/>
    <mergeCell ref="F97:G97"/>
    <mergeCell ref="D96:E96"/>
    <mergeCell ref="D97:E97"/>
    <mergeCell ref="F93:G93"/>
    <mergeCell ref="F94:G94"/>
    <mergeCell ref="F96:G96"/>
    <mergeCell ref="F101:G101"/>
    <mergeCell ref="D108:E108"/>
    <mergeCell ref="F108:G108"/>
    <mergeCell ref="D111:E111"/>
    <mergeCell ref="F111:G111"/>
    <mergeCell ref="D99:E99"/>
    <mergeCell ref="D100:E100"/>
    <mergeCell ref="F99:G99"/>
    <mergeCell ref="F100:G100"/>
    <mergeCell ref="F106:G106"/>
    <mergeCell ref="F104:G104"/>
    <mergeCell ref="F105:G105"/>
    <mergeCell ref="F107:G107"/>
    <mergeCell ref="F103:G103"/>
    <mergeCell ref="F102:G102"/>
    <mergeCell ref="D102:E102"/>
    <mergeCell ref="D106:E106"/>
    <mergeCell ref="D104:E104"/>
    <mergeCell ref="D105:E105"/>
    <mergeCell ref="D107:E107"/>
    <mergeCell ref="D103:E103"/>
    <mergeCell ref="F109:G109"/>
    <mergeCell ref="F110:G110"/>
    <mergeCell ref="D109:E109"/>
    <mergeCell ref="F112:G112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18:G118"/>
    <mergeCell ref="D113:E113"/>
    <mergeCell ref="D114:E114"/>
    <mergeCell ref="D115:E115"/>
    <mergeCell ref="D112:E112"/>
    <mergeCell ref="D116:E116"/>
    <mergeCell ref="D117:E117"/>
    <mergeCell ref="D118:E118"/>
    <mergeCell ref="D119:E119"/>
    <mergeCell ref="D120:E120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D131:E131"/>
    <mergeCell ref="D132:E132"/>
    <mergeCell ref="D133:E133"/>
    <mergeCell ref="D134:E134"/>
    <mergeCell ref="D135:E135"/>
    <mergeCell ref="D130:E13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</mergeCells>
  <pageMargins left="0.25" right="0.25" top="0.75" bottom="0.75" header="0.3" footer="0.3"/>
  <pageSetup paperSize="9" firstPageNumber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0"/>
  <sheetViews>
    <sheetView topLeftCell="A211" zoomScale="110" zoomScaleNormal="110" workbookViewId="0">
      <selection activeCell="E230" sqref="A1:E230"/>
    </sheetView>
  </sheetViews>
  <sheetFormatPr baseColWidth="10" defaultColWidth="8.1640625" defaultRowHeight="14"/>
  <cols>
    <col min="1" max="1" width="59" customWidth="1"/>
    <col min="2" max="2" width="60" bestFit="1" customWidth="1"/>
    <col min="3" max="3" width="41.33203125" bestFit="1" customWidth="1"/>
    <col min="4" max="4" width="19" customWidth="1"/>
    <col min="5" max="5" width="12.83203125" customWidth="1"/>
  </cols>
  <sheetData>
    <row r="1" spans="1:5" ht="16" thickBot="1">
      <c r="A1" s="31" t="s">
        <v>115</v>
      </c>
      <c r="B1" s="31" t="s">
        <v>116</v>
      </c>
      <c r="C1" s="31" t="s">
        <v>117</v>
      </c>
      <c r="D1" s="31" t="s">
        <v>118</v>
      </c>
      <c r="E1" s="31" t="s">
        <v>119</v>
      </c>
    </row>
    <row r="2" spans="1:5">
      <c r="A2" s="29" t="str">
        <f>REPT('Прайс-Лист'!A17,1)</f>
        <v>Изделие шамотное</v>
      </c>
      <c r="B2" s="29" t="str">
        <f>REPT('Прайс-Лист'!B17,1)</f>
        <v>Кирпич прямой №1</v>
      </c>
      <c r="C2" s="29" t="str">
        <f>REPT('Прайс-Лист'!C17,1)</f>
        <v>230х65х65 (ГОСТ 8691-73)</v>
      </c>
      <c r="D2" s="29" t="str">
        <f>REPT('Прайс-Лист'!D17,1)</f>
        <v>19800</v>
      </c>
      <c r="E2" s="30" t="s">
        <v>153</v>
      </c>
    </row>
    <row r="3" spans="1:5">
      <c r="A3" s="29" t="str">
        <f>REPT('Прайс-Лист'!A18,1)</f>
        <v>Изделие шамотное</v>
      </c>
      <c r="B3" s="29" t="str">
        <f>REPT('Прайс-Лист'!B18,1)</f>
        <v>Кирпич прямой №2</v>
      </c>
      <c r="C3" s="29" t="str">
        <f>REPT('Прайс-Лист'!C18,1)</f>
        <v>230х85х65 (ГОСТ 8691-73)</v>
      </c>
      <c r="D3" s="29" t="str">
        <f>REPT('Прайс-Лист'!D18,1)</f>
        <v>19800</v>
      </c>
      <c r="E3" s="30" t="s">
        <v>153</v>
      </c>
    </row>
    <row r="4" spans="1:5">
      <c r="A4" s="29" t="str">
        <f>REPT('Прайс-Лист'!A19,1)</f>
        <v>Изделие шамотное</v>
      </c>
      <c r="B4" s="29" t="str">
        <f>REPT('Прайс-Лист'!B19,1)</f>
        <v>Кирпич прямой №3</v>
      </c>
      <c r="C4" s="29" t="str">
        <f>REPT('Прайс-Лист'!C19,1)</f>
        <v>230х114х100 (ГОСТ 8691-73)</v>
      </c>
      <c r="D4" s="29" t="str">
        <f>REPT('Прайс-Лист'!D19,1)</f>
        <v>19800</v>
      </c>
      <c r="E4" s="30" t="s">
        <v>153</v>
      </c>
    </row>
    <row r="5" spans="1:5">
      <c r="A5" s="29" t="str">
        <f>REPT('Прайс-Лист'!A20,1)</f>
        <v>Изделие шамотное</v>
      </c>
      <c r="B5" s="29" t="str">
        <f>REPT('Прайс-Лист'!B20,1)</f>
        <v>Кирпич прямой №4</v>
      </c>
      <c r="C5" s="29" t="str">
        <f>REPT('Прайс-Лист'!C20,1)</f>
        <v>230х114х75 (ГОСТ 8691-73)</v>
      </c>
      <c r="D5" s="29" t="str">
        <f>REPT('Прайс-Лист'!D20,1)</f>
        <v>19800</v>
      </c>
      <c r="E5" s="30" t="s">
        <v>153</v>
      </c>
    </row>
    <row r="6" spans="1:5">
      <c r="A6" s="29" t="str">
        <f>REPT('Прайс-Лист'!A21,1)</f>
        <v>Изделие шамотное</v>
      </c>
      <c r="B6" s="29" t="str">
        <f>REPT('Прайс-Лист'!B21,1)</f>
        <v>Кирпич прямой №5</v>
      </c>
      <c r="C6" s="29" t="str">
        <f>REPT('Прайс-Лист'!C21,1)</f>
        <v>230х114х65 (ГОСТ 8691-73)</v>
      </c>
      <c r="D6" s="29" t="str">
        <f>REPT('Прайс-Лист'!D21,1)</f>
        <v>14060</v>
      </c>
      <c r="E6" s="30" t="s">
        <v>153</v>
      </c>
    </row>
    <row r="7" spans="1:5">
      <c r="A7" s="29" t="str">
        <f>REPT('Прайс-Лист'!A22,1)</f>
        <v>Изделие шамотное</v>
      </c>
      <c r="B7" s="29" t="str">
        <f>REPT('Прайс-Лист'!B22,1)</f>
        <v>Кирпич прямой №6</v>
      </c>
      <c r="C7" s="29" t="str">
        <f>REPT('Прайс-Лист'!C22,1)</f>
        <v>230х114х40 (ГОСТ 8691-73)</v>
      </c>
      <c r="D7" s="29" t="str">
        <f>REPT('Прайс-Лист'!D22,1)</f>
        <v>19800</v>
      </c>
      <c r="E7" s="30" t="s">
        <v>153</v>
      </c>
    </row>
    <row r="8" spans="1:5">
      <c r="A8" s="29" t="str">
        <f>REPT('Прайс-Лист'!A23,1)</f>
        <v>Изделие шамотное</v>
      </c>
      <c r="B8" s="29" t="str">
        <f>REPT('Прайс-Лист'!B23,1)</f>
        <v>Кирпич прямой №7</v>
      </c>
      <c r="C8" s="29" t="str">
        <f>REPT('Прайс-Лист'!C23,1)</f>
        <v>250х124х75 (ГОСТ 8691-73)</v>
      </c>
      <c r="D8" s="29" t="str">
        <f>REPT('Прайс-Лист'!D23,1)</f>
        <v>19800</v>
      </c>
      <c r="E8" s="30" t="s">
        <v>153</v>
      </c>
    </row>
    <row r="9" spans="1:5">
      <c r="A9" s="29" t="str">
        <f>REPT('Прайс-Лист'!A24,1)</f>
        <v>Изделие шамотное</v>
      </c>
      <c r="B9" s="29" t="str">
        <f>REPT('Прайс-Лист'!B24,1)</f>
        <v>Кирпич прямой №8</v>
      </c>
      <c r="C9" s="29" t="str">
        <f>REPT('Прайс-Лист'!C24,1)</f>
        <v>250х124х65 (ГОСТ 8691-73)</v>
      </c>
      <c r="D9" s="29" t="str">
        <f>REPT('Прайс-Лист'!D24,1)</f>
        <v>14060</v>
      </c>
      <c r="E9" s="30" t="s">
        <v>153</v>
      </c>
    </row>
    <row r="10" spans="1:5">
      <c r="A10" s="29" t="str">
        <f>REPT('Прайс-Лист'!A25,1)</f>
        <v>Изделие шамотное</v>
      </c>
      <c r="B10" s="29" t="str">
        <f>REPT('Прайс-Лист'!B25,1)</f>
        <v>Кирпич прямой №9</v>
      </c>
      <c r="C10" s="29" t="str">
        <f>REPT('Прайс-Лист'!C25,1)</f>
        <v>300х150х65 (ГОСТ 8691-73)</v>
      </c>
      <c r="D10" s="29" t="str">
        <f>REPT('Прайс-Лист'!D25,1)</f>
        <v>19800</v>
      </c>
      <c r="E10" s="30" t="s">
        <v>153</v>
      </c>
    </row>
    <row r="11" spans="1:5">
      <c r="A11" s="29" t="str">
        <f>REPT('Прайс-Лист'!A26,1)</f>
        <v>Изделие шамотное</v>
      </c>
      <c r="B11" s="29" t="str">
        <f>REPT('Прайс-Лист'!B26,1)</f>
        <v>Кирпич прямой №10</v>
      </c>
      <c r="C11" s="29" t="str">
        <f>REPT('Прайс-Лист'!C26,1)</f>
        <v>345х150х75 (ГОСТ 8691-73)</v>
      </c>
      <c r="D11" s="29" t="str">
        <f>REPT('Прайс-Лист'!D26,1)</f>
        <v>19800</v>
      </c>
      <c r="E11" s="30" t="s">
        <v>153</v>
      </c>
    </row>
    <row r="12" spans="1:5">
      <c r="A12" s="29" t="str">
        <f>REPT('Прайс-Лист'!A27,1)</f>
        <v>Изделие шамотное</v>
      </c>
      <c r="B12" s="29" t="str">
        <f>REPT('Прайс-Лист'!B27,1)</f>
        <v>Кирпич прямой полуторный № 12</v>
      </c>
      <c r="C12" s="29" t="str">
        <f>REPT('Прайс-Лист'!C27,1)</f>
        <v>230х172х65 (ГОСТ 8691-73)</v>
      </c>
      <c r="D12" s="29" t="str">
        <f>REPT('Прайс-Лист'!D27,1)</f>
        <v>27700</v>
      </c>
      <c r="E12" s="30" t="s">
        <v>153</v>
      </c>
    </row>
    <row r="13" spans="1:5">
      <c r="A13" s="29" t="str">
        <f>REPT('Прайс-Лист'!A28,1)</f>
        <v>Изделие шамотное</v>
      </c>
      <c r="B13" s="29" t="str">
        <f>REPT('Прайс-Лист'!B28,1)</f>
        <v>Кирпич прямой полуторный № 13</v>
      </c>
      <c r="C13" s="29" t="str">
        <f>REPT('Прайс-Лист'!C28,1)</f>
        <v>250х182х75 (ГОСТ 8691-73)</v>
      </c>
      <c r="D13" s="29" t="str">
        <f>REPT('Прайс-Лист'!D28,1)</f>
        <v>27700</v>
      </c>
      <c r="E13" s="30" t="s">
        <v>153</v>
      </c>
    </row>
    <row r="14" spans="1:5">
      <c r="A14" s="29" t="str">
        <f>REPT('Прайс-Лист'!A29,1)</f>
        <v>Изделие шамотное</v>
      </c>
      <c r="B14" s="29" t="str">
        <f>REPT('Прайс-Лист'!B29,1)</f>
        <v>Кирпич прямой полуторный № 14</v>
      </c>
      <c r="C14" s="29" t="str">
        <f>REPT('Прайс-Лист'!C29,1)</f>
        <v>250х187х65 (ГОСТ 8691-73)</v>
      </c>
      <c r="D14" s="29" t="str">
        <f>REPT('Прайс-Лист'!D29,1)</f>
        <v>27700</v>
      </c>
      <c r="E14" s="30" t="s">
        <v>153</v>
      </c>
    </row>
    <row r="15" spans="1:5">
      <c r="A15" s="29" t="str">
        <f>REPT('Прайс-Лист'!A30,1)</f>
        <v>Изделие шамотное</v>
      </c>
      <c r="B15" s="29" t="str">
        <f>REPT('Прайс-Лист'!B30,1)</f>
        <v>Кирпич прямой полуторный № 15</v>
      </c>
      <c r="C15" s="29" t="str">
        <f>REPT('Прайс-Лист'!C30,1)</f>
        <v>300х225х65 (ГОСТ 8691-73)</v>
      </c>
      <c r="D15" s="29" t="str">
        <f>REPT('Прайс-Лист'!D30,1)</f>
        <v>27700</v>
      </c>
      <c r="E15" s="30" t="s">
        <v>153</v>
      </c>
    </row>
    <row r="16" spans="1:5">
      <c r="A16" s="29" t="str">
        <f>REPT('Прайс-Лист'!A31,1)</f>
        <v>Изделие шамотное</v>
      </c>
      <c r="B16" s="29" t="str">
        <f>REPT('Прайс-Лист'!B31,1)</f>
        <v>Клин торцовый (двусторонний и односторонний) № 20</v>
      </c>
      <c r="C16" s="29" t="str">
        <f>REPT('Прайс-Лист'!C31,1)</f>
        <v>230х114х75х65 (ГОСТ 8691-73)</v>
      </c>
      <c r="D16" s="29" t="str">
        <f>REPT('Прайс-Лист'!D31,1)</f>
        <v>19100</v>
      </c>
      <c r="E16" s="30" t="s">
        <v>153</v>
      </c>
    </row>
    <row r="17" spans="1:5">
      <c r="A17" s="29" t="str">
        <f>REPT('Прайс-Лист'!A32,1)</f>
        <v>Изделие шамотное</v>
      </c>
      <c r="B17" s="29" t="str">
        <f>REPT('Прайс-Лист'!B32,1)</f>
        <v>Клин торцовый (двусторонний и односторонний) № 21</v>
      </c>
      <c r="C17" s="29" t="str">
        <f>REPT('Прайс-Лист'!C32,1)</f>
        <v>230х114х75х65 (ГОСТ 8691-73)</v>
      </c>
      <c r="D17" s="29" t="str">
        <f>REPT('Прайс-Лист'!D32,1)</f>
        <v>19100</v>
      </c>
      <c r="E17" s="30" t="s">
        <v>153</v>
      </c>
    </row>
    <row r="18" spans="1:5">
      <c r="A18" s="29" t="str">
        <f>REPT('Прайс-Лист'!A33,1)</f>
        <v>Изделие шамотное</v>
      </c>
      <c r="B18" s="29" t="str">
        <f>REPT('Прайс-Лист'!B33,1)</f>
        <v>Клин торцовый (двусторонний и односторонний) № 22</v>
      </c>
      <c r="C18" s="29" t="str">
        <f>REPT('Прайс-Лист'!C33,1)</f>
        <v>230х114х65х55 (ГОСТ 8691-73)</v>
      </c>
      <c r="D18" s="29" t="str">
        <f>REPT('Прайс-Лист'!D33,1)</f>
        <v>18160</v>
      </c>
      <c r="E18" s="30" t="s">
        <v>153</v>
      </c>
    </row>
    <row r="19" spans="1:5">
      <c r="A19" s="29" t="str">
        <f>REPT('Прайс-Лист'!A34,1)</f>
        <v>Изделие шамотное</v>
      </c>
      <c r="B19" s="29" t="str">
        <f>REPT('Прайс-Лист'!B34,1)</f>
        <v>Клин торцовый (двусторонний и односторонний) № 23</v>
      </c>
      <c r="C19" s="29" t="str">
        <f>REPT('Прайс-Лист'!C34,1)</f>
        <v>230х114х65х45 (ГОСТ 8691-73)</v>
      </c>
      <c r="D19" s="29" t="str">
        <f>REPT('Прайс-Лист'!D34,1)</f>
        <v>18160</v>
      </c>
      <c r="E19" s="30" t="s">
        <v>153</v>
      </c>
    </row>
    <row r="20" spans="1:5">
      <c r="A20" s="29" t="str">
        <f>REPT('Прайс-Лист'!A35,1)</f>
        <v>Изделие шамотное</v>
      </c>
      <c r="B20" s="29" t="str">
        <f>REPT('Прайс-Лист'!B35,1)</f>
        <v>Клин торцовый (двусторонний и односторонний) № 24</v>
      </c>
      <c r="C20" s="29" t="str">
        <f>REPT('Прайс-Лист'!C35,1)</f>
        <v>250х124х75х65 (ГОСТ 8691-73)</v>
      </c>
      <c r="D20" s="29" t="str">
        <f>REPT('Прайс-Лист'!D35,1)</f>
        <v>18160</v>
      </c>
      <c r="E20" s="30" t="s">
        <v>153</v>
      </c>
    </row>
    <row r="21" spans="1:5">
      <c r="A21" s="29" t="str">
        <f>REPT('Прайс-Лист'!A36,1)</f>
        <v>Изделие шамотное</v>
      </c>
      <c r="B21" s="29" t="str">
        <f>REPT('Прайс-Лист'!B36,1)</f>
        <v>Клин торцовый (двусторонний и односторонний) № 25</v>
      </c>
      <c r="C21" s="29" t="str">
        <f>REPT('Прайс-Лист'!C36,1)</f>
        <v>250х124х65х55 (ГОСТ 8691-73)</v>
      </c>
      <c r="D21" s="29" t="str">
        <f>REPT('Прайс-Лист'!D36,1)</f>
        <v>18160</v>
      </c>
      <c r="E21" s="30" t="s">
        <v>153</v>
      </c>
    </row>
    <row r="22" spans="1:5">
      <c r="A22" s="29" t="str">
        <f>REPT('Прайс-Лист'!A37,1)</f>
        <v>Изделие шамотное</v>
      </c>
      <c r="B22" s="29" t="str">
        <f>REPT('Прайс-Лист'!B37,1)</f>
        <v>Клин торцовый (двусторонний и односторонний) № 26</v>
      </c>
      <c r="C22" s="29" t="str">
        <f>REPT('Прайс-Лист'!C37,1)</f>
        <v>250х124х65х45 (ГОСТ 8691-73)</v>
      </c>
      <c r="D22" s="29" t="str">
        <f>REPT('Прайс-Лист'!D37,1)</f>
        <v>19100</v>
      </c>
      <c r="E22" s="30" t="s">
        <v>153</v>
      </c>
    </row>
    <row r="23" spans="1:5">
      <c r="A23" s="29" t="str">
        <f>REPT('Прайс-Лист'!A38,1)</f>
        <v>Изделие шамотное</v>
      </c>
      <c r="B23" s="29" t="str">
        <f>REPT('Прайс-Лист'!B38,1)</f>
        <v>Клин торцовый полуторный (двусторонний и односторонний) № 33</v>
      </c>
      <c r="C23" s="29" t="str">
        <f>REPT('Прайс-Лист'!C38,1)</f>
        <v>230х172х75х65 (ГОСТ 8691-73)</v>
      </c>
      <c r="D23" s="29" t="str">
        <f>REPT('Прайс-Лист'!D38,1)</f>
        <v>56800</v>
      </c>
      <c r="E23" s="30" t="s">
        <v>153</v>
      </c>
    </row>
    <row r="24" spans="1:5">
      <c r="A24" s="29" t="str">
        <f>REPT('Прайс-Лист'!A39,1)</f>
        <v>Изделие шамотное</v>
      </c>
      <c r="B24" s="29" t="str">
        <f>REPT('Прайс-Лист'!B39,1)</f>
        <v>Клин торцовый полуторный (двусторонний и односторонний) № 34</v>
      </c>
      <c r="C24" s="29" t="str">
        <f>REPT('Прайс-Лист'!C39,1)</f>
        <v>230х172х75х55 (ГОСТ 8691-73)</v>
      </c>
      <c r="D24" s="29" t="str">
        <f>REPT('Прайс-Лист'!D39,1)</f>
        <v>56800</v>
      </c>
      <c r="E24" s="30" t="s">
        <v>153</v>
      </c>
    </row>
    <row r="25" spans="1:5">
      <c r="A25" s="29" t="str">
        <f>REPT('Прайс-Лист'!A40,1)</f>
        <v>Изделие шамотное</v>
      </c>
      <c r="B25" s="29" t="str">
        <f>REPT('Прайс-Лист'!B40,1)</f>
        <v>Клин торцовый полуторный (двусторонний и односторонний) № 35</v>
      </c>
      <c r="C25" s="29" t="str">
        <f>REPT('Прайс-Лист'!C40,1)</f>
        <v>230х172х65х55 (ГОСТ 8691-73)</v>
      </c>
      <c r="D25" s="29" t="str">
        <f>REPT('Прайс-Лист'!D40,1)</f>
        <v>56800</v>
      </c>
      <c r="E25" s="30" t="s">
        <v>153</v>
      </c>
    </row>
    <row r="26" spans="1:5">
      <c r="A26" s="29" t="str">
        <f>REPT('Прайс-Лист'!A41,1)</f>
        <v>Изделие шамотное</v>
      </c>
      <c r="B26" s="29" t="str">
        <f>REPT('Прайс-Лист'!B41,1)</f>
        <v>Клин торцовый полуторный (двусторонний и односторонний) № 36</v>
      </c>
      <c r="C26" s="29" t="str">
        <f>REPT('Прайс-Лист'!C41,1)</f>
        <v>230х172х65х45 (ГОСТ 8691-73)</v>
      </c>
      <c r="D26" s="29" t="str">
        <f>REPT('Прайс-Лист'!D41,1)</f>
        <v>56800</v>
      </c>
      <c r="E26" s="30" t="s">
        <v>153</v>
      </c>
    </row>
    <row r="27" spans="1:5">
      <c r="A27" s="29" t="str">
        <f>REPT('Прайс-Лист'!A42,1)</f>
        <v>Изделие шамотное</v>
      </c>
      <c r="B27" s="29" t="str">
        <f>REPT('Прайс-Лист'!B42,1)</f>
        <v>Клин торцовый полуторный (двусторонний и односторонний) № 37</v>
      </c>
      <c r="C27" s="29" t="str">
        <f>REPT('Прайс-Лист'!C42,1)</f>
        <v>250х187х75х65 (ГОСТ 8691-73)</v>
      </c>
      <c r="D27" s="29" t="str">
        <f>REPT('Прайс-Лист'!D42,1)</f>
        <v>56800</v>
      </c>
      <c r="E27" s="30" t="s">
        <v>153</v>
      </c>
    </row>
    <row r="28" spans="1:5">
      <c r="A28" s="29" t="str">
        <f>REPT('Прайс-Лист'!A43,1)</f>
        <v>Изделие шамотное</v>
      </c>
      <c r="B28" s="29" t="str">
        <f>REPT('Прайс-Лист'!B43,1)</f>
        <v>Клин торцовый полуторный (двусторонний и односторонний) № 38</v>
      </c>
      <c r="C28" s="29" t="str">
        <f>REPT('Прайс-Лист'!C43,1)</f>
        <v>250х187х65х55 (ГОСТ 8691-73)</v>
      </c>
      <c r="D28" s="29" t="str">
        <f>REPT('Прайс-Лист'!D43,1)</f>
        <v>56800</v>
      </c>
      <c r="E28" s="30" t="s">
        <v>153</v>
      </c>
    </row>
    <row r="29" spans="1:5">
      <c r="A29" s="29" t="str">
        <f>REPT('Прайс-Лист'!A44,1)</f>
        <v>Изделие шамотное</v>
      </c>
      <c r="B29" s="29" t="str">
        <f>REPT('Прайс-Лист'!B44,1)</f>
        <v>Клин торцовый полуторный (двусторонний и односторонний) № 39</v>
      </c>
      <c r="C29" s="29" t="str">
        <f>REPT('Прайс-Лист'!C44,1)</f>
        <v>250х187х65х45 (ГОСТ 8691-73)</v>
      </c>
      <c r="D29" s="29" t="str">
        <f>REPT('Прайс-Лист'!D44,1)</f>
        <v>56800</v>
      </c>
      <c r="E29" s="30" t="s">
        <v>153</v>
      </c>
    </row>
    <row r="30" spans="1:5">
      <c r="A30" s="29" t="str">
        <f>REPT('Прайс-Лист'!A45,1)</f>
        <v>Изделие шамотное</v>
      </c>
      <c r="B30" s="29" t="str">
        <f>REPT('Прайс-Лист'!B45,1)</f>
        <v>Клин торцовый полуторный (двусторонний и односторонний) № 41</v>
      </c>
      <c r="C30" s="29" t="str">
        <f>REPT('Прайс-Лист'!C45,1)</f>
        <v>300х225х65х45 (ГОСТ 8691-73)</v>
      </c>
      <c r="D30" s="29" t="str">
        <f>REPT('Прайс-Лист'!D45,1)</f>
        <v>22200</v>
      </c>
      <c r="E30" s="30" t="s">
        <v>153</v>
      </c>
    </row>
    <row r="31" spans="1:5">
      <c r="A31" s="29" t="str">
        <f>REPT('Прайс-Лист'!A46,1)</f>
        <v>Изделие шамотное</v>
      </c>
      <c r="B31" s="29" t="str">
        <f>REPT('Прайс-Лист'!B46,1)</f>
        <v>Клин ребровый (двусторонний и односторонний) № 42</v>
      </c>
      <c r="C31" s="29" t="str">
        <f>REPT('Прайс-Лист'!C46,1)</f>
        <v>230х114х75х65 (ГОСТ 8691-73)</v>
      </c>
      <c r="D31" s="29" t="str">
        <f>REPT('Прайс-Лист'!D46,1)</f>
        <v>22200</v>
      </c>
      <c r="E31" s="30" t="s">
        <v>153</v>
      </c>
    </row>
    <row r="32" spans="1:5">
      <c r="A32" s="29" t="str">
        <f>REPT('Прайс-Лист'!A47,1)</f>
        <v>Изделие шамотное</v>
      </c>
      <c r="B32" s="29" t="str">
        <f>REPT('Прайс-Лист'!B47,1)</f>
        <v>Клин ребровый (двусторонний и односторонний) № 43</v>
      </c>
      <c r="C32" s="29" t="str">
        <f>REPT('Прайс-Лист'!C47,1)</f>
        <v>230х114х75х55 (ГОСТ 8691-73)</v>
      </c>
      <c r="D32" s="29" t="str">
        <f>REPT('Прайс-Лист'!D47,1)</f>
        <v>18160</v>
      </c>
      <c r="E32" s="30" t="s">
        <v>153</v>
      </c>
    </row>
    <row r="33" spans="1:5">
      <c r="A33" s="29" t="str">
        <f>REPT('Прайс-Лист'!A48,1)</f>
        <v>Изделие шамотное</v>
      </c>
      <c r="B33" s="29" t="str">
        <f>REPT('Прайс-Лист'!B48,1)</f>
        <v>Клин ребровый (двусторонний и односторонний) № 44</v>
      </c>
      <c r="C33" s="29" t="str">
        <f>REPT('Прайс-Лист'!C48,1)</f>
        <v>230х114х65х55 (ГОСТ 8691-73)</v>
      </c>
      <c r="D33" s="29" t="str">
        <f>REPT('Прайс-Лист'!D48,1)</f>
        <v>18160</v>
      </c>
      <c r="E33" s="30" t="s">
        <v>153</v>
      </c>
    </row>
    <row r="34" spans="1:5">
      <c r="A34" s="29" t="str">
        <f>REPT('Прайс-Лист'!A49,1)</f>
        <v>Изделие шамотное</v>
      </c>
      <c r="B34" s="29" t="str">
        <f>REPT('Прайс-Лист'!B49,1)</f>
        <v>Клин ребровый (двусторонний и односторонний) № 45</v>
      </c>
      <c r="C34" s="29" t="str">
        <f>REPT('Прайс-Лист'!C49,1)</f>
        <v>230х114х65х45 (ГОСТ 8691-73)</v>
      </c>
      <c r="D34" s="29" t="str">
        <f>REPT('Прайс-Лист'!D49,1)</f>
        <v>18160</v>
      </c>
      <c r="E34" s="30" t="s">
        <v>153</v>
      </c>
    </row>
    <row r="35" spans="1:5">
      <c r="A35" s="29" t="str">
        <f>REPT('Прайс-Лист'!A50,1)</f>
        <v>Изделие шамотное</v>
      </c>
      <c r="B35" s="29" t="str">
        <f>REPT('Прайс-Лист'!B50,1)</f>
        <v>Клин ребровый (двусторонний и односторонний) № 46</v>
      </c>
      <c r="C35" s="29" t="str">
        <f>REPT('Прайс-Лист'!C50,1)</f>
        <v>250х124х75х65 (ГОСТ 8691-73)</v>
      </c>
      <c r="D35" s="29" t="str">
        <f>REPT('Прайс-Лист'!D50,1)</f>
        <v>22200</v>
      </c>
      <c r="E35" s="30" t="s">
        <v>153</v>
      </c>
    </row>
    <row r="36" spans="1:5">
      <c r="A36" s="29" t="str">
        <f>REPT('Прайс-Лист'!A51,1)</f>
        <v>Изделие шамотное</v>
      </c>
      <c r="B36" s="29" t="str">
        <f>REPT('Прайс-Лист'!B51,1)</f>
        <v>Клин ребровый (двусторонний и односторонний) № 47</v>
      </c>
      <c r="C36" s="29" t="str">
        <f>REPT('Прайс-Лист'!C51,1)</f>
        <v>250х124х65х55 (ГОСТ 8691-73)</v>
      </c>
      <c r="D36" s="29" t="str">
        <f>REPT('Прайс-Лист'!D51,1)</f>
        <v>18160</v>
      </c>
      <c r="E36" s="30" t="s">
        <v>153</v>
      </c>
    </row>
    <row r="37" spans="1:5">
      <c r="A37" s="29" t="str">
        <f>REPT('Прайс-Лист'!A52,1)</f>
        <v>Изделие шамотное</v>
      </c>
      <c r="B37" s="29" t="str">
        <f>REPT('Прайс-Лист'!B52,1)</f>
        <v>Клин ребровый (двусторонний и односторонний) № 48</v>
      </c>
      <c r="C37" s="29" t="str">
        <f>REPT('Прайс-Лист'!C52,1)</f>
        <v>250х124х65х45 (ГОСТ 8691-73)</v>
      </c>
      <c r="D37" s="29" t="str">
        <f>REPT('Прайс-Лист'!D52,1)</f>
        <v>22200</v>
      </c>
      <c r="E37" s="30" t="s">
        <v>153</v>
      </c>
    </row>
    <row r="38" spans="1:5">
      <c r="A38" s="29" t="str">
        <f>REPT('Прайс-Лист'!A53,1)</f>
        <v>Изделие шамотное</v>
      </c>
      <c r="B38" s="29" t="str">
        <f>REPT('Прайс-Лист'!B53,1)</f>
        <v>Клин трапецеидальный (двусторонний и односторонний) № 49</v>
      </c>
      <c r="C38" s="29" t="str">
        <f>REPT('Прайс-Лист'!C53,1)</f>
        <v>230х114х96х65 (ГОСТ 8691-73)</v>
      </c>
      <c r="D38" s="29" t="str">
        <f>REPT('Прайс-Лист'!D53,1)</f>
        <v>22900</v>
      </c>
      <c r="E38" s="30" t="s">
        <v>153</v>
      </c>
    </row>
    <row r="39" spans="1:5">
      <c r="A39" s="29" t="str">
        <f>REPT('Прайс-Лист'!A54,1)</f>
        <v>Изделие шамотное</v>
      </c>
      <c r="B39" s="29" t="str">
        <f>REPT('Прайс-Лист'!B54,1)</f>
        <v>Клин трапецеидальный (двусторонний и односторонний) № 50</v>
      </c>
      <c r="C39" s="29" t="str">
        <f>REPT('Прайс-Лист'!C54,1)</f>
        <v>230х114х76х65 (ГОСТ 8691-73)</v>
      </c>
      <c r="D39" s="29" t="str">
        <f>REPT('Прайс-Лист'!D54,1)</f>
        <v>22900</v>
      </c>
      <c r="E39" s="30" t="s">
        <v>153</v>
      </c>
    </row>
    <row r="40" spans="1:5">
      <c r="A40" s="29" t="str">
        <f>REPT('Прайс-Лист'!A55,1)</f>
        <v>Изделие шамотное</v>
      </c>
      <c r="B40" s="29" t="str">
        <f>REPT('Прайс-Лист'!B55,1)</f>
        <v>Клин трапецеидальный (двусторонний и односторонний) № 51</v>
      </c>
      <c r="C40" s="29" t="str">
        <f>REPT('Прайс-Лист'!C55,1)</f>
        <v>230х114х56х65 (ГОСТ 8691-73)</v>
      </c>
      <c r="D40" s="29" t="str">
        <f>REPT('Прайс-Лист'!D55,1)</f>
        <v>22900</v>
      </c>
      <c r="E40" s="30" t="s">
        <v>153</v>
      </c>
    </row>
    <row r="41" spans="1:5">
      <c r="A41" s="29" t="str">
        <f>REPT('Прайс-Лист'!A56,1)</f>
        <v>Изделие шамотное</v>
      </c>
      <c r="B41" s="29" t="str">
        <f>REPT('Прайс-Лист'!B56,1)</f>
        <v>Клин трапецеидальный (двусторонний и односторонний) № 52</v>
      </c>
      <c r="C41" s="29" t="str">
        <f>REPT('Прайс-Лист'!C56,1)</f>
        <v>345х150х125х75 (ГОСТ 8691-73)</v>
      </c>
      <c r="D41" s="29" t="str">
        <f>REPT('Прайс-Лист'!D56,1)</f>
        <v>22900</v>
      </c>
      <c r="E41" s="30" t="s">
        <v>153</v>
      </c>
    </row>
    <row r="42" spans="1:5">
      <c r="A42" s="29" t="str">
        <f>REPT('Прайс-Лист'!A57,1)</f>
        <v>Изделие шамотное</v>
      </c>
      <c r="B42" s="29" t="str">
        <f>REPT('Прайс-Лист'!B57,1)</f>
        <v>Клин трапецеидальный (двусторонний и односторонний) № 53</v>
      </c>
      <c r="C42" s="29" t="str">
        <f>REPT('Прайс-Лист'!C57,1)</f>
        <v>345х150х90х75 (ГОСТ 8691-73)</v>
      </c>
      <c r="D42" s="29" t="str">
        <f>REPT('Прайс-Лист'!D57,1)</f>
        <v>22900</v>
      </c>
      <c r="E42" s="30" t="s">
        <v>153</v>
      </c>
    </row>
    <row r="43" spans="1:5">
      <c r="A43" s="29" t="str">
        <f>REPT('Прайс-Лист'!A58,1)</f>
        <v>Изделие шамотное</v>
      </c>
      <c r="B43" s="29" t="str">
        <f>REPT('Прайс-Лист'!B58,1)</f>
        <v>Клин трапецеидальный (двусторонний и односторонний) № 54</v>
      </c>
      <c r="C43" s="29" t="str">
        <f>REPT('Прайс-Лист'!C58,1)</f>
        <v>345х150х80х75 (ГОСТ 8691-73)</v>
      </c>
      <c r="D43" s="29" t="str">
        <f>REPT('Прайс-Лист'!D58,1)</f>
        <v>22900</v>
      </c>
      <c r="E43" s="30" t="s">
        <v>153</v>
      </c>
    </row>
    <row r="44" spans="1:5">
      <c r="A44" s="29" t="str">
        <f>REPT('Прайс-Лист'!A59,1)</f>
        <v>Изделие шамотное</v>
      </c>
      <c r="B44" s="29" t="str">
        <f>REPT('Прайс-Лист'!B59,1)</f>
        <v>Кирпич пятовый № 60</v>
      </c>
      <c r="C44" s="29" t="str">
        <f>REPT('Прайс-Лист'!C59,1)</f>
        <v>114х114х114х133х34х57 α60 (ГОСТ 8691-73)</v>
      </c>
      <c r="D44" s="29" t="str">
        <f>REPT('Прайс-Лист'!D59,1)</f>
        <v>36800</v>
      </c>
      <c r="E44" s="30" t="s">
        <v>153</v>
      </c>
    </row>
    <row r="45" spans="1:5">
      <c r="A45" s="29" t="str">
        <f>REPT('Прайс-Лист'!A60,1)</f>
        <v>Изделие шамотное</v>
      </c>
      <c r="B45" s="29" t="str">
        <f>REPT('Прайс-Лист'!B60,1)</f>
        <v>Кирпич пятовый № 61</v>
      </c>
      <c r="C45" s="29" t="str">
        <f>REPT('Прайс-Лист'!C60,1)</f>
        <v>114х114х114х133х52х33 α45 (ГОСТ 8691-73)</v>
      </c>
      <c r="D45" s="29" t="str">
        <f>REPT('Прайс-Лист'!D60,1)</f>
        <v>36800</v>
      </c>
      <c r="E45" s="30" t="s">
        <v>153</v>
      </c>
    </row>
    <row r="46" spans="1:5">
      <c r="A46" s="29" t="str">
        <f>REPT('Прайс-Лист'!A61,1)</f>
        <v>Изделие шамотное</v>
      </c>
      <c r="B46" s="29" t="str">
        <f>REPT('Прайс-Лист'!B61,1)</f>
        <v>Кирпич пятовый № 62</v>
      </c>
      <c r="C46" s="29" t="str">
        <f>REPT('Прайс-Лист'!C61,1)</f>
        <v>124х124х124х133х26х62 α60 (ГОСТ 8691-73)</v>
      </c>
      <c r="D46" s="29" t="str">
        <f>REPT('Прайс-Лист'!D61,1)</f>
        <v>36800</v>
      </c>
      <c r="E46" s="30" t="s">
        <v>153</v>
      </c>
    </row>
    <row r="47" spans="1:5">
      <c r="A47" s="29" t="str">
        <f>REPT('Прайс-Лист'!A62,1)</f>
        <v>Изделие шамотное</v>
      </c>
      <c r="B47" s="29" t="str">
        <f>REPT('Прайс-Лист'!B62,1)</f>
        <v>Кирпич пятовый № 65</v>
      </c>
      <c r="C47" s="29" t="str">
        <f>REPT('Прайс-Лист'!C62,1)</f>
        <v>172х230х114х201х80х109 α45 (ГОСТ 8691-73)</v>
      </c>
      <c r="D47" s="29" t="str">
        <f>REPT('Прайс-Лист'!D62,1)</f>
        <v>36800</v>
      </c>
      <c r="E47" s="30" t="s">
        <v>153</v>
      </c>
    </row>
    <row r="48" spans="1:5">
      <c r="A48" s="29" t="str">
        <f>REPT('Прайс-Лист'!A63,1)</f>
        <v>Изделие шамотное</v>
      </c>
      <c r="B48" s="29" t="str">
        <f>REPT('Прайс-Лист'!B63,1)</f>
        <v>Кирпич пятовый № 66</v>
      </c>
      <c r="C48" s="29" t="str">
        <f>REPT('Прайс-Лист'!C63,1)</f>
        <v>230х230х114х201х39х68 α45 (ГОСТ 8691-73)</v>
      </c>
      <c r="D48" s="29" t="str">
        <f>REPT('Прайс-Лист'!D63,1)</f>
        <v>36800</v>
      </c>
      <c r="E48" s="30" t="s">
        <v>153</v>
      </c>
    </row>
    <row r="49" spans="1:5">
      <c r="A49" s="29" t="str">
        <f>REPT('Прайс-Лист'!A64,1)</f>
        <v>Изделие шамотное</v>
      </c>
      <c r="B49" s="29" t="str">
        <f>REPT('Прайс-Лист'!B64,1)</f>
        <v>Кирпич пятовый № 67</v>
      </c>
      <c r="C49" s="29" t="str">
        <f>REPT('Прайс-Лист'!C64,1)</f>
        <v>230х230х114х236х37х115 α60 (ГОСТ 8691-73)</v>
      </c>
      <c r="D49" s="29" t="str">
        <f>REPT('Прайс-Лист'!D64,1)</f>
        <v>36800</v>
      </c>
      <c r="E49" s="30" t="s">
        <v>153</v>
      </c>
    </row>
    <row r="50" spans="1:5">
      <c r="A50" s="29" t="str">
        <f>REPT('Прайс-Лист'!A65,1)</f>
        <v>Изделие шамотное</v>
      </c>
      <c r="B50" s="29" t="str">
        <f>REPT('Прайс-Лист'!B65,1)</f>
        <v>Кирпич пятовый № 68</v>
      </c>
      <c r="C50" s="29" t="str">
        <f>REPT('Прайс-Лист'!C65,1)</f>
        <v>230х230х114х269х70х115 α60 (ГОСТ 8691-73)</v>
      </c>
      <c r="D50" s="29" t="str">
        <f>REPT('Прайс-Лист'!D65,1)</f>
        <v>36800</v>
      </c>
      <c r="E50" s="30" t="s">
        <v>153</v>
      </c>
    </row>
    <row r="51" spans="1:5">
      <c r="A51" s="29" t="str">
        <f>REPT('Прайс-Лист'!A66,1)</f>
        <v>Изделие шамотное</v>
      </c>
      <c r="B51" s="29" t="str">
        <f>REPT('Прайс-Лист'!B66,1)</f>
        <v>Кирпич пятовый № 69</v>
      </c>
      <c r="C51" s="29" t="str">
        <f>REPT('Прайс-Лист'!C66,1)</f>
        <v>250х230х124х269х53х105 α60 (ГОСТ 8691-73)</v>
      </c>
      <c r="D51" s="29" t="str">
        <f>REPT('Прайс-Лист'!D66,1)</f>
        <v>36800</v>
      </c>
      <c r="E51" s="30" t="s">
        <v>153</v>
      </c>
    </row>
    <row r="52" spans="1:5">
      <c r="A52" s="29" t="str">
        <f>REPT('Прайс-Лист'!A67,1)</f>
        <v>Изделие шамотное</v>
      </c>
      <c r="B52" s="29" t="str">
        <f>REPT('Прайс-Лист'!B67,1)</f>
        <v>Кирпич пятовый № 70</v>
      </c>
      <c r="C52" s="29" t="str">
        <f>REPT('Прайс-Лист'!C67,1)</f>
        <v>300х230х75х269х9х80 α60     (ГОСТ 8691-73)</v>
      </c>
      <c r="D52" s="29" t="str">
        <f>REPT('Прайс-Лист'!D67,1)</f>
        <v>36800</v>
      </c>
      <c r="E52" s="30" t="s">
        <v>153</v>
      </c>
    </row>
    <row r="53" spans="1:5">
      <c r="A53" s="29" t="str">
        <f>REPT('Прайс-Лист'!A68,1)</f>
        <v>Изделие шамотное</v>
      </c>
      <c r="B53" s="29" t="str">
        <f>REPT('Прайс-Лист'!B68,1)</f>
        <v>Плита шамотная №94</v>
      </c>
      <c r="C53" s="29" t="str">
        <f>REPT('Прайс-Лист'!C68,1)</f>
        <v>460х230х75 (ГОСТ 8691-73)</v>
      </c>
      <c r="D53" s="29" t="str">
        <f>REPT('Прайс-Лист'!D68,1)</f>
        <v>43800</v>
      </c>
      <c r="E53" s="30" t="s">
        <v>153</v>
      </c>
    </row>
    <row r="54" spans="1:5">
      <c r="A54" s="29" t="str">
        <f>REPT('Прайс-Лист'!A69,1)</f>
        <v>Изделие шамотное</v>
      </c>
      <c r="B54" s="29" t="str">
        <f>REPT('Прайс-Лист'!B69,1)</f>
        <v>Плита шамотная №95</v>
      </c>
      <c r="C54" s="29" t="str">
        <f>REPT('Прайс-Лист'!C69,1)</f>
        <v>575х170х80 (ГОСТ 8691-73)</v>
      </c>
      <c r="D54" s="29" t="str">
        <f>REPT('Прайс-Лист'!D69,1)</f>
        <v>43800</v>
      </c>
      <c r="E54" s="30" t="s">
        <v>153</v>
      </c>
    </row>
    <row r="55" spans="1:5">
      <c r="A55" s="29" t="str">
        <f>REPT('Прайс-Лист'!A70,1)</f>
        <v>Изделие шамотное</v>
      </c>
      <c r="B55" s="29" t="str">
        <f>REPT('Прайс-Лист'!B70,1)</f>
        <v>Плита шамотная №96</v>
      </c>
      <c r="C55" s="29" t="str">
        <f>REPT('Прайс-Лист'!C70,1)</f>
        <v>600х230х90 (ГОСТ 8691-73)</v>
      </c>
      <c r="D55" s="29" t="str">
        <f>REPT('Прайс-Лист'!D70,1)</f>
        <v>43800</v>
      </c>
      <c r="E55" s="30" t="s">
        <v>153</v>
      </c>
    </row>
    <row r="56" spans="1:5">
      <c r="A56" s="29" t="str">
        <f>REPT('Прайс-Лист'!A71,1)</f>
        <v>Изделие шамотное</v>
      </c>
      <c r="B56" s="29" t="str">
        <f>REPT('Прайс-Лист'!B71,1)</f>
        <v>Брус огнеупорный</v>
      </c>
      <c r="C56" s="29" t="str">
        <f>REPT('Прайс-Лист'!C71,1)</f>
        <v>460х133х114 (ГОСТ 8691-73)</v>
      </c>
      <c r="D56" s="29" t="str">
        <f>REPT('Прайс-Лист'!D71,1)</f>
        <v>43800</v>
      </c>
      <c r="E56" s="30" t="s">
        <v>153</v>
      </c>
    </row>
    <row r="57" spans="1:5">
      <c r="A57" s="29" t="str">
        <f>REPT('Прайс-Лист'!A72,1)</f>
        <v>Изделие шамотное</v>
      </c>
      <c r="B57" s="29" t="str">
        <f>REPT('Прайс-Лист'!B72,1)</f>
        <v>Кирпич горелочный № 98-1/2</v>
      </c>
      <c r="C57" s="29" t="str">
        <f>REPT('Прайс-Лист'!C72,1)</f>
        <v>230х100х80х150х50х35         (ГОСТ 8691-73)</v>
      </c>
      <c r="D57" s="29" t="str">
        <f>REPT('Прайс-Лист'!D72,1)</f>
        <v>договорная</v>
      </c>
      <c r="E57" s="30" t="s">
        <v>153</v>
      </c>
    </row>
    <row r="58" spans="1:5">
      <c r="A58" s="29" t="str">
        <f>REPT('Прайс-Лист'!A73,1)</f>
        <v>Изделие шамотное</v>
      </c>
      <c r="B58" s="29" t="str">
        <f>REPT('Прайс-Лист'!B73,1)</f>
        <v>Кирпич горелочный № 99-1/2</v>
      </c>
      <c r="C58" s="29" t="str">
        <f>REPT('Прайс-Лист'!C73,1)</f>
        <v>340х167х120х190х75х45       (ГОСТ 8691-73)</v>
      </c>
      <c r="D58" s="29" t="str">
        <f>REPT('Прайс-Лист'!D73,1)</f>
        <v>договорная</v>
      </c>
      <c r="E58" s="30" t="s">
        <v>153</v>
      </c>
    </row>
    <row r="59" spans="1:5">
      <c r="A59" s="29" t="str">
        <f>REPT('Прайс-Лист'!A74,1)</f>
        <v>Изделие шамотное</v>
      </c>
      <c r="B59" s="29" t="str">
        <f>REPT('Прайс-Лист'!B74,1)</f>
        <v>Кирпич горелочный № 100-1/2</v>
      </c>
      <c r="C59" s="29" t="str">
        <f>REPT('Прайс-Лист'!C74,1)</f>
        <v>340х167х120х210х100х45     (ГОСТ 8691-73)</v>
      </c>
      <c r="D59" s="29" t="str">
        <f>REPT('Прайс-Лист'!D74,1)</f>
        <v>договорная</v>
      </c>
      <c r="E59" s="30" t="s">
        <v>153</v>
      </c>
    </row>
    <row r="60" spans="1:5">
      <c r="A60" s="29" t="str">
        <f>REPT('Прайс-Лист'!A75,1)</f>
        <v>Изделие шамотное</v>
      </c>
      <c r="B60" s="29" t="str">
        <f>REPT('Прайс-Лист'!B75,1)</f>
        <v>Кирпич горелочный № 101-1/2</v>
      </c>
      <c r="C60" s="29" t="str">
        <f>REPT('Прайс-Лист'!C75,1)</f>
        <v>340х167х130х240х125х40     (ГОСТ 8691-73)</v>
      </c>
      <c r="D60" s="29" t="str">
        <f>REPT('Прайс-Лист'!D75,1)</f>
        <v>договорная</v>
      </c>
      <c r="E60" s="30" t="s">
        <v>153</v>
      </c>
    </row>
    <row r="61" spans="1:5">
      <c r="A61" s="29" t="str">
        <f>REPT('Прайс-Лист'!A76,1)</f>
        <v>Изделие шамотное</v>
      </c>
      <c r="B61" s="29" t="str">
        <f>REPT('Прайс-Лист'!B76,1)</f>
        <v>Кирпич горелочный № 102-1/2</v>
      </c>
      <c r="C61" s="29" t="str">
        <f>REPT('Прайс-Лист'!C76,1)</f>
        <v>340х167х130х260х150х40     (ГОСТ 8691-73)</v>
      </c>
      <c r="D61" s="29" t="str">
        <f>REPT('Прайс-Лист'!D76,1)</f>
        <v>договорная</v>
      </c>
      <c r="E61" s="30" t="s">
        <v>153</v>
      </c>
    </row>
    <row r="62" spans="1:5">
      <c r="A62" s="29" t="str">
        <f>REPT('Прайс-Лист'!A77,1)</f>
        <v>Изделие шамотное</v>
      </c>
      <c r="B62" s="29" t="str">
        <f>REPT('Прайс-Лист'!B77,1)</f>
        <v>Кирпич лекальный НТ-136</v>
      </c>
      <c r="C62" s="29" t="str">
        <f>REPT('Прайс-Лист'!C77,1)</f>
        <v>(ГОСТ 390-96)</v>
      </c>
      <c r="D62" s="29" t="str">
        <f>REPT('Прайс-Лист'!D77,1)</f>
        <v>182000</v>
      </c>
      <c r="E62" s="30" t="s">
        <v>153</v>
      </c>
    </row>
    <row r="63" spans="1:5">
      <c r="A63" s="29" t="str">
        <f>REPT('Прайс-Лист'!A78,1)</f>
        <v>Изделие шамотное</v>
      </c>
      <c r="B63" s="29" t="str">
        <f>REPT('Прайс-Лист'!B78,1)</f>
        <v>Кирпич лекальный НТ-137</v>
      </c>
      <c r="C63" s="29" t="str">
        <f>REPT('Прайс-Лист'!C78,1)</f>
        <v>(ГОСТ 390-96)</v>
      </c>
      <c r="D63" s="29" t="str">
        <f>REPT('Прайс-Лист'!D78,1)</f>
        <v>182000</v>
      </c>
      <c r="E63" s="30" t="s">
        <v>153</v>
      </c>
    </row>
    <row r="64" spans="1:5">
      <c r="A64" s="29" t="str">
        <f>REPT('Прайс-Лист'!A79,1)</f>
        <v>Изделие шамотное</v>
      </c>
      <c r="B64" s="29" t="str">
        <f>REPT('Прайс-Лист'!B79,1)</f>
        <v>Полочки малые НТ-079</v>
      </c>
      <c r="C64" s="29" t="str">
        <f>REPT('Прайс-Лист'!C79,1)</f>
        <v>(ГОСТ 390-96)</v>
      </c>
      <c r="D64" s="29" t="str">
        <f>REPT('Прайс-Лист'!D79,1)</f>
        <v>132</v>
      </c>
      <c r="E64" s="30" t="s">
        <v>154</v>
      </c>
    </row>
    <row r="65" spans="1:5">
      <c r="A65" s="29" t="str">
        <f>REPT('Прайс-Лист'!A80,1)</f>
        <v>Изделие шамотное</v>
      </c>
      <c r="B65" s="29" t="str">
        <f>REPT('Прайс-Лист'!B80,1)</f>
        <v>Полочки малые НТ-080</v>
      </c>
      <c r="C65" s="29" t="str">
        <f>REPT('Прайс-Лист'!C80,1)</f>
        <v>(ГОСТ 390-96)</v>
      </c>
      <c r="D65" s="29" t="str">
        <f>REPT('Прайс-Лист'!D80,1)</f>
        <v>132</v>
      </c>
      <c r="E65" s="30" t="s">
        <v>154</v>
      </c>
    </row>
    <row r="66" spans="1:5">
      <c r="A66" s="29" t="str">
        <f>REPT('Прайс-Лист'!A81,1)</f>
        <v>Изделие шамотное</v>
      </c>
      <c r="B66" s="29" t="str">
        <f>REPT('Прайс-Лист'!B81,1)</f>
        <v>Полочки малые НТ-081</v>
      </c>
      <c r="C66" s="29" t="str">
        <f>REPT('Прайс-Лист'!C81,1)</f>
        <v>(ГОСТ 390-96)</v>
      </c>
      <c r="D66" s="29" t="str">
        <f>REPT('Прайс-Лист'!D81,1)</f>
        <v>132</v>
      </c>
      <c r="E66" s="30" t="s">
        <v>154</v>
      </c>
    </row>
    <row r="67" spans="1:5">
      <c r="A67" s="29" t="str">
        <f>REPT('Прайс-Лист'!A82,1)</f>
        <v>Изделие шамотное</v>
      </c>
      <c r="B67" s="29" t="str">
        <f>REPT('Прайс-Лист'!B82,1)</f>
        <v>Трубка НТ-033</v>
      </c>
      <c r="C67" s="29" t="str">
        <f>REPT('Прайс-Лист'!C82,1)</f>
        <v>36х24 (ГОСТ 390-96)</v>
      </c>
      <c r="D67" s="29" t="str">
        <f>REPT('Прайс-Лист'!D82,1)</f>
        <v>520</v>
      </c>
      <c r="E67" s="30" t="s">
        <v>154</v>
      </c>
    </row>
    <row r="68" spans="1:5">
      <c r="A68" s="29" t="str">
        <f>REPT('Прайс-Лист'!A83,1)</f>
        <v>Изделие шамотное</v>
      </c>
      <c r="B68" s="29" t="str">
        <f>REPT('Прайс-Лист'!B83,1)</f>
        <v>Трубка НТ-068</v>
      </c>
      <c r="C68" s="29" t="str">
        <f>REPT('Прайс-Лист'!C83,1)</f>
        <v>36х14 (ГОСТ 390-96)</v>
      </c>
      <c r="D68" s="29" t="str">
        <f>REPT('Прайс-Лист'!D83,1)</f>
        <v>780</v>
      </c>
      <c r="E68" s="30" t="s">
        <v>154</v>
      </c>
    </row>
    <row r="69" spans="1:5">
      <c r="A69" s="29" t="str">
        <f>REPT('Прайс-Лист'!A84,1)</f>
        <v>Изделие шамотное</v>
      </c>
      <c r="B69" s="29" t="str">
        <f>REPT('Прайс-Лист'!B84,1)</f>
        <v>Трубка НТ-067</v>
      </c>
      <c r="C69" s="29" t="str">
        <f>REPT('Прайс-Лист'!C84,1)</f>
        <v>56х32 (ГОСТ 390-96)</v>
      </c>
      <c r="D69" s="29" t="str">
        <f>REPT('Прайс-Лист'!D84,1)</f>
        <v>960</v>
      </c>
      <c r="E69" s="30" t="s">
        <v>154</v>
      </c>
    </row>
    <row r="70" spans="1:5">
      <c r="A70" s="29" t="str">
        <f>REPT('Прайс-Лист'!A85,1)</f>
        <v>Изделие шамотное</v>
      </c>
      <c r="B70" s="29" t="str">
        <f>REPT('Прайс-Лист'!B85,1)</f>
        <v>Трубки сифонные ШС-28</v>
      </c>
      <c r="C70" s="29" t="str">
        <f>REPT('Прайс-Лист'!C85,1)</f>
        <v>(ГОСТ 11586-2005)</v>
      </c>
      <c r="D70" s="29" t="str">
        <f>REPT('Прайс-Лист'!D85,1)</f>
        <v>68000</v>
      </c>
      <c r="E70" s="30" t="s">
        <v>153</v>
      </c>
    </row>
    <row r="71" spans="1:5">
      <c r="A71" s="29" t="str">
        <f>REPT('Прайс-Лист'!A86,1)</f>
        <v>Изделие шамотное</v>
      </c>
      <c r="B71" s="29" t="str">
        <f>REPT('Прайс-Лист'!B86,1)</f>
        <v>Трубки стопорные ШСП-32</v>
      </c>
      <c r="C71" s="29" t="str">
        <f>REPT('Прайс-Лист'!C86,1)</f>
        <v>(ГОСТ 11586-2005)</v>
      </c>
      <c r="D71" s="29" t="str">
        <f>REPT('Прайс-Лист'!D86,1)</f>
        <v>72000</v>
      </c>
      <c r="E71" s="30" t="s">
        <v>153</v>
      </c>
    </row>
    <row r="72" spans="1:5" s="108" customFormat="1" ht="15" thickBot="1">
      <c r="A72" s="106" t="str">
        <f>REPT('Прайс-Лист'!A87,1)</f>
        <v>Изделие шамотное</v>
      </c>
      <c r="B72" s="106" t="str">
        <f>REPT('Прайс-Лист'!B87,1)</f>
        <v>Трубки стопорные ШСП-35</v>
      </c>
      <c r="C72" s="106" t="str">
        <f>REPT('Прайс-Лист'!C87,1)</f>
        <v xml:space="preserve"> (ГОСТ 5500-2001)</v>
      </c>
      <c r="D72" s="106" t="str">
        <f>REPT('Прайс-Лист'!D87,1)</f>
        <v>72000</v>
      </c>
      <c r="E72" s="107" t="s">
        <v>153</v>
      </c>
    </row>
    <row r="73" spans="1:5">
      <c r="A73" s="29" t="str">
        <f>REPT('Прайс-Лист'!A92,1)</f>
        <v>Изделие шамотное легковесное ШЛ-1,0</v>
      </c>
      <c r="B73" s="29" t="str">
        <f>REPT('Прайс-Лист'!B92,1)</f>
        <v>Кирпич прямой №5</v>
      </c>
      <c r="C73" s="29" t="str">
        <f>REPT('Прайс-Лист'!C92,1)</f>
        <v>230х114х65 (ГОСТ 8691-73)</v>
      </c>
      <c r="D73" s="29" t="str">
        <f>REPT('Прайс-Лист'!D92,1)</f>
        <v>52000</v>
      </c>
      <c r="E73" s="30" t="str">
        <f>REPT('Прайс-Лист'!D91,1)</f>
        <v>тн</v>
      </c>
    </row>
    <row r="74" spans="1:5">
      <c r="A74" s="29" t="str">
        <f>REPT('Прайс-Лист'!A93,1)</f>
        <v>Изделие шамотное легковесное ШЛ-1,0</v>
      </c>
      <c r="B74" s="29" t="str">
        <f>REPT('Прайс-Лист'!B93,1)</f>
        <v>Кирпич прямой №8</v>
      </c>
      <c r="C74" s="29" t="str">
        <f>REPT('Прайс-Лист'!C93,1)</f>
        <v>250х124х65 (ГОСТ 8691-73)</v>
      </c>
      <c r="D74" s="29" t="str">
        <f>REPT('Прайс-Лист'!D93,1)</f>
        <v>52000</v>
      </c>
      <c r="E74" s="30" t="s">
        <v>153</v>
      </c>
    </row>
    <row r="75" spans="1:5">
      <c r="A75" s="29" t="str">
        <f>REPT('Прайс-Лист'!A94,1)</f>
        <v>Изделие шамотное легковесное ШЛ-1,0</v>
      </c>
      <c r="B75" s="29" t="str">
        <f>REPT('Прайс-Лист'!B94,1)</f>
        <v>Клин торцовый (двусторонний и односторонний) № 22</v>
      </c>
      <c r="C75" s="29" t="str">
        <f>REPT('Прайс-Лист'!C94,1)</f>
        <v>230х114х65х55 (ГОСТ 8691-73)</v>
      </c>
      <c r="D75" s="29" t="str">
        <f>REPT('Прайс-Лист'!D94,1)</f>
        <v>58600</v>
      </c>
      <c r="E75" s="30" t="s">
        <v>153</v>
      </c>
    </row>
    <row r="76" spans="1:5">
      <c r="A76" s="29" t="str">
        <f>REPT('Прайс-Лист'!A95,1)</f>
        <v>Изделие шамотное легковесное ШЛ-1,0</v>
      </c>
      <c r="B76" s="29" t="str">
        <f>REPT('Прайс-Лист'!B95,1)</f>
        <v>Клин торцовый (двусторонний и односторонний) № 23</v>
      </c>
      <c r="C76" s="29" t="str">
        <f>REPT('Прайс-Лист'!C95,1)</f>
        <v>230х114х65х45 (ГОСТ 8691-73)</v>
      </c>
      <c r="D76" s="29" t="str">
        <f>REPT('Прайс-Лист'!D95,1)</f>
        <v>58600</v>
      </c>
      <c r="E76" s="30" t="s">
        <v>153</v>
      </c>
    </row>
    <row r="77" spans="1:5">
      <c r="A77" s="29" t="str">
        <f>REPT('Прайс-Лист'!A96,1)</f>
        <v>Изделие шамотное легковесное ШЛ-1,0</v>
      </c>
      <c r="B77" s="29" t="str">
        <f>REPT('Прайс-Лист'!B96,1)</f>
        <v>Клин ребровый (двусторонний и односторонний) № 44</v>
      </c>
      <c r="C77" s="29" t="str">
        <f>REPT('Прайс-Лист'!C96,1)</f>
        <v>230х114х65х55 (ГОСТ 8691-73)</v>
      </c>
      <c r="D77" s="29" t="str">
        <f>REPT('Прайс-Лист'!D96,1)</f>
        <v>58600</v>
      </c>
      <c r="E77" s="30" t="s">
        <v>153</v>
      </c>
    </row>
    <row r="78" spans="1:5" s="108" customFormat="1" ht="15" thickBot="1">
      <c r="A78" s="106" t="str">
        <f>REPT('Прайс-Лист'!A97,1)</f>
        <v>Изделие шамотное легковесное ШЛ-1,0</v>
      </c>
      <c r="B78" s="106" t="str">
        <f>REPT('Прайс-Лист'!B97,1)</f>
        <v>Клин ребровый (двусторонний и односторонний) № 45</v>
      </c>
      <c r="C78" s="106" t="str">
        <f>REPT('Прайс-Лист'!C97,1)</f>
        <v>230х114х65х45 (ГОСТ 8691-73)</v>
      </c>
      <c r="D78" s="106" t="str">
        <f>REPT('Прайс-Лист'!D97,1)</f>
        <v>58600</v>
      </c>
      <c r="E78" s="107" t="s">
        <v>153</v>
      </c>
    </row>
    <row r="79" spans="1:5">
      <c r="A79" s="29" t="str">
        <f>REPT('Прайс-Лист'!A102,1)</f>
        <v>Изделие шамотное легковесное ШЛ-1,3</v>
      </c>
      <c r="B79" s="29" t="str">
        <f>REPT('Прайс-Лист'!B102,1)</f>
        <v>Кирпич прямой №5</v>
      </c>
      <c r="C79" s="29" t="str">
        <f>REPT('Прайс-Лист'!C102,1)</f>
        <v>230х114х65 (ГОСТ 8691-73)</v>
      </c>
      <c r="D79" s="29" t="str">
        <f>REPT('Прайс-Лист'!D102,1)</f>
        <v>46800</v>
      </c>
      <c r="E79" s="30" t="s">
        <v>153</v>
      </c>
    </row>
    <row r="80" spans="1:5">
      <c r="A80" s="29" t="str">
        <f>REPT('Прайс-Лист'!A103,1)</f>
        <v>Изделие шамотное легковесное ШЛ-1,3</v>
      </c>
      <c r="B80" s="29" t="str">
        <f>REPT('Прайс-Лист'!B103,1)</f>
        <v>Кирпич прямой №6</v>
      </c>
      <c r="C80" s="29" t="str">
        <f>REPT('Прайс-Лист'!C103,1)</f>
        <v>230х114х40 (ГОСТ 8691-73)</v>
      </c>
      <c r="D80" s="29" t="str">
        <f>REPT('Прайс-Лист'!D103,1)</f>
        <v>49800</v>
      </c>
      <c r="E80" s="30" t="s">
        <v>153</v>
      </c>
    </row>
    <row r="81" spans="1:5">
      <c r="A81" s="29" t="str">
        <f>REPT('Прайс-Лист'!A104,1)</f>
        <v>Изделие шамотное легковесное ШЛ-1,3</v>
      </c>
      <c r="B81" s="29" t="str">
        <f>REPT('Прайс-Лист'!B104,1)</f>
        <v>Кирпич прямой №8</v>
      </c>
      <c r="C81" s="29" t="str">
        <f>REPT('Прайс-Лист'!C104,1)</f>
        <v>250х124х65 (ГОСТ 8691-73)</v>
      </c>
      <c r="D81" s="29" t="str">
        <f>REPT('Прайс-Лист'!D104,1)</f>
        <v>46800</v>
      </c>
      <c r="E81" s="30" t="s">
        <v>153</v>
      </c>
    </row>
    <row r="82" spans="1:5">
      <c r="A82" s="29" t="str">
        <f>REPT('Прайс-Лист'!A105,1)</f>
        <v>Изделие шамотное легковесное ШЛ-1,3</v>
      </c>
      <c r="B82" s="29" t="str">
        <f>REPT('Прайс-Лист'!B105,1)</f>
        <v>Клин торцовый (двусторонний и односторонний) № 22</v>
      </c>
      <c r="C82" s="29" t="str">
        <f>REPT('Прайс-Лист'!C105,1)</f>
        <v>230х114х65х55 (ГОСТ 8691-73)</v>
      </c>
      <c r="D82" s="29" t="str">
        <f>REPT('Прайс-Лист'!D105,1)</f>
        <v>47200</v>
      </c>
      <c r="E82" s="30" t="s">
        <v>153</v>
      </c>
    </row>
    <row r="83" spans="1:5" s="28" customFormat="1">
      <c r="A83" s="29" t="str">
        <f>REPT('Прайс-Лист'!A106,1)</f>
        <v>Изделие шамотное легковесное ШЛ-1,3</v>
      </c>
      <c r="B83" s="29" t="str">
        <f>REPT('Прайс-Лист'!B106,1)</f>
        <v>Клин торцовый (двусторонний и односторонний) № 23</v>
      </c>
      <c r="C83" s="29" t="str">
        <f>REPT('Прайс-Лист'!C106,1)</f>
        <v>230х114х65х45 (ГОСТ 8691-73)</v>
      </c>
      <c r="D83" s="29" t="str">
        <f>REPT('Прайс-Лист'!D106,1)</f>
        <v>47200</v>
      </c>
      <c r="E83" s="30" t="s">
        <v>153</v>
      </c>
    </row>
    <row r="84" spans="1:5">
      <c r="A84" s="29" t="str">
        <f>REPT('Прайс-Лист'!A107,1)</f>
        <v>Изделие шамотное легковесное ШЛ-1,3</v>
      </c>
      <c r="B84" s="29" t="str">
        <f>REPT('Прайс-Лист'!B107,1)</f>
        <v>Клин ребровый (двусторонний и односторонний) № 44</v>
      </c>
      <c r="C84" s="29" t="str">
        <f>REPT('Прайс-Лист'!C107,1)</f>
        <v>230х114х65х55 (ГОСТ 8691-73)</v>
      </c>
      <c r="D84" s="29" t="str">
        <f>REPT('Прайс-Лист'!D107,1)</f>
        <v>47200</v>
      </c>
      <c r="E84" s="30" t="s">
        <v>153</v>
      </c>
    </row>
    <row r="85" spans="1:5" s="108" customFormat="1" ht="15" thickBot="1">
      <c r="A85" s="106" t="str">
        <f>REPT('Прайс-Лист'!A108,1)</f>
        <v>Изделие шамотное легковесное ШЛ-1,3</v>
      </c>
      <c r="B85" s="106" t="str">
        <f>REPT('Прайс-Лист'!B108,1)</f>
        <v>Клин ребровый (двусторонний и односторонний) № 45</v>
      </c>
      <c r="C85" s="106" t="str">
        <f>REPT('Прайс-Лист'!C108,1)</f>
        <v>230х114х65х45 (ГОСТ 8691-73)</v>
      </c>
      <c r="D85" s="106" t="str">
        <f>REPT('Прайс-Лист'!D108,1)</f>
        <v>47200</v>
      </c>
      <c r="E85" s="107" t="s">
        <v>153</v>
      </c>
    </row>
    <row r="86" spans="1:5">
      <c r="A86" s="29" t="str">
        <f>REPT('Прайс-Лист'!A113,1)</f>
        <v>Изделие шамотное ультралегковесное ШЛ-0,4</v>
      </c>
      <c r="B86" s="29" t="str">
        <f>REPT('Прайс-Лист'!B113,1)</f>
        <v>Кирпич прямой №5</v>
      </c>
      <c r="C86" s="29" t="str">
        <f>REPT('Прайс-Лист'!C113,1)</f>
        <v>230х114х65 (ГОСТ 8691-73)</v>
      </c>
      <c r="D86" s="29" t="str">
        <f>REPT('Прайс-Лист'!D113,1)</f>
        <v>156200</v>
      </c>
      <c r="E86" s="30" t="s">
        <v>153</v>
      </c>
    </row>
    <row r="87" spans="1:5">
      <c r="A87" s="29" t="str">
        <f>REPT('Прайс-Лист'!A114,1)</f>
        <v>Изделие шамотное ультралегковесное ШЛ-0,4</v>
      </c>
      <c r="B87" s="29" t="str">
        <f>REPT('Прайс-Лист'!B114,1)</f>
        <v>Клин торцовый (двусторонний и односторонний) № 22</v>
      </c>
      <c r="C87" s="29" t="str">
        <f>REPT('Прайс-Лист'!C114,1)</f>
        <v>230х114х65х55 (ГОСТ 8691-73)</v>
      </c>
      <c r="D87" s="29" t="str">
        <f>REPT('Прайс-Лист'!D114,1)</f>
        <v>168000</v>
      </c>
      <c r="E87" s="30" t="s">
        <v>153</v>
      </c>
    </row>
    <row r="88" spans="1:5">
      <c r="A88" s="29" t="str">
        <f>REPT('Прайс-Лист'!A115,1)</f>
        <v>Изделие шамотное ультралегковесное ШЛ-0,4</v>
      </c>
      <c r="B88" s="29" t="str">
        <f>REPT('Прайс-Лист'!B115,1)</f>
        <v>Клин торцовый (двусторонний и односторонний) № 23</v>
      </c>
      <c r="C88" s="29" t="str">
        <f>REPT('Прайс-Лист'!C115,1)</f>
        <v>230х114х65х45 (ГОСТ 8691-73)</v>
      </c>
      <c r="D88" s="29" t="str">
        <f>REPT('Прайс-Лист'!D115,1)</f>
        <v>168000</v>
      </c>
      <c r="E88" s="30" t="s">
        <v>153</v>
      </c>
    </row>
    <row r="89" spans="1:5">
      <c r="A89" s="29" t="str">
        <f>REPT('Прайс-Лист'!A116,1)</f>
        <v>Изделие шамотное ультралегковесное ШЛ-0,4</v>
      </c>
      <c r="B89" s="29" t="str">
        <f>REPT('Прайс-Лист'!B116,1)</f>
        <v>Клин ребровый (двусторонний и односторонний) № 44</v>
      </c>
      <c r="C89" s="29" t="str">
        <f>REPT('Прайс-Лист'!C116,1)</f>
        <v>230х114х65х55 (ГОСТ 8691-73)</v>
      </c>
      <c r="D89" s="29" t="str">
        <f>REPT('Прайс-Лист'!D116,1)</f>
        <v>168000</v>
      </c>
      <c r="E89" s="30" t="s">
        <v>153</v>
      </c>
    </row>
    <row r="90" spans="1:5">
      <c r="A90" s="29" t="str">
        <f>REPT('Прайс-Лист'!A117,1)</f>
        <v>Изделие шамотное ультралегковесное ШЛ-0,4</v>
      </c>
      <c r="B90" s="29" t="str">
        <f>REPT('Прайс-Лист'!B117,1)</f>
        <v>Клин ребровый (двусторонний и односторонний) № 45</v>
      </c>
      <c r="C90" s="29" t="str">
        <f>REPT('Прайс-Лист'!C117,1)</f>
        <v>230х114х65х45 (ГОСТ 8691-73)</v>
      </c>
      <c r="D90" s="29" t="str">
        <f>REPT('Прайс-Лист'!D117,1)</f>
        <v>168000</v>
      </c>
      <c r="E90" s="30" t="s">
        <v>153</v>
      </c>
    </row>
    <row r="91" spans="1:5">
      <c r="A91" s="29" t="str">
        <f>REPT('Прайс-Лист'!A118,1)</f>
        <v>Изделие шамотное-тальковое ультралегковесное ШТЛ-0,6</v>
      </c>
      <c r="B91" s="29" t="str">
        <f>REPT('Прайс-Лист'!B118,1)</f>
        <v>Кирпич прямой №5</v>
      </c>
      <c r="C91" s="29" t="str">
        <f>REPT('Прайс-Лист'!C118,1)</f>
        <v>230х114х65 (ГОСТ 8691-73)</v>
      </c>
      <c r="D91" s="29" t="str">
        <f>REPT('Прайс-Лист'!D118,1)</f>
        <v>168000</v>
      </c>
      <c r="E91" s="30" t="s">
        <v>153</v>
      </c>
    </row>
    <row r="92" spans="1:5">
      <c r="A92" s="29" t="str">
        <f>REPT('Прайс-Лист'!A119,1)</f>
        <v>Изделие муллито-кремниземистое МКРЛ-0,8</v>
      </c>
      <c r="B92" s="29" t="str">
        <f>REPT('Прайс-Лист'!B119,1)</f>
        <v>Кирпич прямой №5</v>
      </c>
      <c r="C92" s="29" t="str">
        <f>REPT('Прайс-Лист'!C119,1)</f>
        <v>230х114х65 (ГОСТ 8691-73)</v>
      </c>
      <c r="D92" s="29" t="str">
        <f>REPT('Прайс-Лист'!D119,1)</f>
        <v>168000</v>
      </c>
      <c r="E92" s="30" t="s">
        <v>153</v>
      </c>
    </row>
    <row r="93" spans="1:5" s="108" customFormat="1" ht="15" thickBot="1">
      <c r="A93" s="106" t="str">
        <f>REPT('Прайс-Лист'!A120,1)</f>
        <v>Изделие корундовое легковесное</v>
      </c>
      <c r="B93" s="106" t="str">
        <f>REPT('Прайс-Лист'!B120,1)</f>
        <v>Кирпич корундовый КЛ-1,3</v>
      </c>
      <c r="C93" s="106" t="str">
        <f>REPT('Прайс-Лист'!C120,1)</f>
        <v>(ГОСТ 24704-94)</v>
      </c>
      <c r="D93" s="106" t="str">
        <f>REPT('Прайс-Лист'!D120,1)</f>
        <v>480000</v>
      </c>
      <c r="E93" s="107" t="s">
        <v>153</v>
      </c>
    </row>
    <row r="94" spans="1:5">
      <c r="A94" s="29" t="str">
        <f>REPT('Прайс-Лист'!A125,1)</f>
        <v>Изделие периклазохромитовое сводовое среднеплотное</v>
      </c>
      <c r="B94" s="29" t="str">
        <f>REPT('Прайс-Лист'!B125,1)</f>
        <v>Кирпич прямой №1</v>
      </c>
      <c r="C94" s="29" t="str">
        <f>REPT('Прайс-Лист'!C125,1)</f>
        <v>230х115х65 (ГОСТ 10888-93)</v>
      </c>
      <c r="D94" s="29" t="str">
        <f>REPT('Прайс-Лист'!D125,1)</f>
        <v>92800</v>
      </c>
      <c r="E94" s="30" t="s">
        <v>153</v>
      </c>
    </row>
    <row r="95" spans="1:5">
      <c r="A95" s="29" t="str">
        <f>REPT('Прайс-Лист'!A126,1)</f>
        <v>Изделие периклазохромитовое сводовое среднеплотное</v>
      </c>
      <c r="B95" s="29" t="str">
        <f>REPT('Прайс-Лист'!B126,1)</f>
        <v>Клин торцевой двухсторонний № 10</v>
      </c>
      <c r="C95" s="29" t="str">
        <f>REPT('Прайс-Лист'!C126,1)</f>
        <v>230х115х65х55 (ГОСТ 10888-93)</v>
      </c>
      <c r="D95" s="29" t="str">
        <f>REPT('Прайс-Лист'!D126,1)</f>
        <v>98600</v>
      </c>
      <c r="E95" s="30" t="s">
        <v>153</v>
      </c>
    </row>
    <row r="96" spans="1:5">
      <c r="A96" s="29" t="str">
        <f>REPT('Прайс-Лист'!A127,1)</f>
        <v>Изделие периклазохромитовое сводовое среднеплотное</v>
      </c>
      <c r="B96" s="29" t="str">
        <f>REPT('Прайс-Лист'!B127,1)</f>
        <v>Клин торцевой двухсторонний № 11</v>
      </c>
      <c r="C96" s="29" t="str">
        <f>REPT('Прайс-Лист'!C127,1)</f>
        <v>350х150х75х68 (ГОСТ 10888-93)</v>
      </c>
      <c r="D96" s="29" t="str">
        <f>REPT('Прайс-Лист'!D127,1)</f>
        <v>98600</v>
      </c>
      <c r="E96" s="30" t="s">
        <v>153</v>
      </c>
    </row>
    <row r="97" spans="1:5">
      <c r="A97" s="29" t="str">
        <f>REPT('Прайс-Лист'!A128,1)</f>
        <v>Изделие периклазохромитовое сводовое среднеплотное</v>
      </c>
      <c r="B97" s="29" t="str">
        <f>REPT('Прайс-Лист'!B128,1)</f>
        <v>Клин торцевой двухсторонний № 12</v>
      </c>
      <c r="C97" s="29" t="str">
        <f>REPT('Прайс-Лист'!C128,1)</f>
        <v>300х150х85х68 (ГОСТ 10888-93)</v>
      </c>
      <c r="D97" s="29" t="str">
        <f>REPT('Прайс-Лист'!D128,1)</f>
        <v>98600</v>
      </c>
      <c r="E97" s="30" t="s">
        <v>153</v>
      </c>
    </row>
    <row r="98" spans="1:5">
      <c r="A98" s="29" t="str">
        <f>REPT('Прайс-Лист'!A129,1)</f>
        <v>Изделие периклазохромитовое сводовое среднеплотное</v>
      </c>
      <c r="B98" s="29" t="str">
        <f>REPT('Прайс-Лист'!B129,1)</f>
        <v>Клин торцевой двухсторонний № 13</v>
      </c>
      <c r="C98" s="29" t="str">
        <f>REPT('Прайс-Лист'!C129,1)</f>
        <v>300х150х85х75 (ГОСТ 10888-93)</v>
      </c>
      <c r="D98" s="29" t="str">
        <f>REPT('Прайс-Лист'!D129,1)</f>
        <v>98600</v>
      </c>
      <c r="E98" s="30" t="s">
        <v>153</v>
      </c>
    </row>
    <row r="99" spans="1:5">
      <c r="A99" s="29" t="str">
        <f>REPT('Прайс-Лист'!A130,1)</f>
        <v>Изделие периклазохромитовое сводовое среднеплотное</v>
      </c>
      <c r="B99" s="29" t="str">
        <f>REPT('Прайс-Лист'!B130,1)</f>
        <v>Клин торцевой двухсторонний № 14</v>
      </c>
      <c r="C99" s="29" t="str">
        <f>REPT('Прайс-Лист'!C130,1)</f>
        <v>380х150х77х68 (ГОСТ 10888-93)</v>
      </c>
      <c r="D99" s="29" t="str">
        <f>REPT('Прайс-Лист'!D130,1)</f>
        <v>98600</v>
      </c>
      <c r="E99" s="30" t="s">
        <v>153</v>
      </c>
    </row>
    <row r="100" spans="1:5">
      <c r="A100" s="29" t="str">
        <f>REPT('Прайс-Лист'!A131,1)</f>
        <v>Изделие периклазохромитовое сводовое среднеплотное</v>
      </c>
      <c r="B100" s="29" t="str">
        <f>REPT('Прайс-Лист'!B131,1)</f>
        <v>Клин торцевой двухсторонний № 15</v>
      </c>
      <c r="C100" s="29" t="str">
        <f>REPT('Прайс-Лист'!C131,1)</f>
        <v>380х150х77х72 (ГОСТ 10888-93)</v>
      </c>
      <c r="D100" s="29" t="str">
        <f>REPT('Прайс-Лист'!D131,1)</f>
        <v>98600</v>
      </c>
      <c r="E100" s="30" t="s">
        <v>153</v>
      </c>
    </row>
    <row r="101" spans="1:5">
      <c r="A101" s="29" t="str">
        <f>REPT('Прайс-Лист'!A132,1)</f>
        <v>Изделие периклазохромитовое сводовое среднеплотное</v>
      </c>
      <c r="B101" s="29" t="str">
        <f>REPT('Прайс-Лист'!B132,1)</f>
        <v>Клин торцевой двухсторонний № 16</v>
      </c>
      <c r="C101" s="29" t="str">
        <f>REPT('Прайс-Лист'!C132,1)</f>
        <v>380х150х82х66 (ГОСТ 10888-93)</v>
      </c>
      <c r="D101" s="29" t="str">
        <f>REPT('Прайс-Лист'!D132,1)</f>
        <v>98600</v>
      </c>
      <c r="E101" s="30" t="s">
        <v>153</v>
      </c>
    </row>
    <row r="102" spans="1:5">
      <c r="A102" s="29" t="str">
        <f>REPT('Прайс-Лист'!A133,1)</f>
        <v>Изделие периклазохромитовое сводовое среднеплотное</v>
      </c>
      <c r="B102" s="29" t="str">
        <f>REPT('Прайс-Лист'!B133,1)</f>
        <v>Клин торцевой двухсторонний № 17</v>
      </c>
      <c r="C102" s="29" t="str">
        <f>REPT('Прайс-Лист'!C133,1)</f>
        <v>380х150х85х75 (ГОСТ 10888-93)</v>
      </c>
      <c r="D102" s="29" t="str">
        <f>REPT('Прайс-Лист'!D133,1)</f>
        <v>98600</v>
      </c>
      <c r="E102" s="30" t="s">
        <v>153</v>
      </c>
    </row>
    <row r="103" spans="1:5">
      <c r="A103" s="29" t="str">
        <f>REPT('Прайс-Лист'!A134,1)</f>
        <v>Изделие периклазохромитовое сводовое среднеплотное</v>
      </c>
      <c r="B103" s="29" t="str">
        <f>REPT('Прайс-Лист'!B134,1)</f>
        <v>Клин торцевой двухсторонний № 18</v>
      </c>
      <c r="C103" s="29" t="str">
        <f>REPT('Прайс-Лист'!C134,1)</f>
        <v>380х150х90х78 (ГОСТ 10888-93)</v>
      </c>
      <c r="D103" s="29" t="str">
        <f>REPT('Прайс-Лист'!D134,1)</f>
        <v>98600</v>
      </c>
      <c r="E103" s="30" t="s">
        <v>153</v>
      </c>
    </row>
    <row r="104" spans="1:5">
      <c r="A104" s="29" t="str">
        <f>REPT('Прайс-Лист'!A135,1)</f>
        <v>Изделие периклазохромитовое сводовое среднеплотное</v>
      </c>
      <c r="B104" s="29" t="str">
        <f>REPT('Прайс-Лист'!B135,1)</f>
        <v>Клин торцевой двухсторонний № 19</v>
      </c>
      <c r="C104" s="29" t="str">
        <f>REPT('Прайс-Лист'!C135,1)</f>
        <v>380х150х90х83 (ГОСТ 10888-93)</v>
      </c>
      <c r="D104" s="29" t="str">
        <f>REPT('Прайс-Лист'!D135,1)</f>
        <v>98600</v>
      </c>
      <c r="E104" s="30" t="s">
        <v>153</v>
      </c>
    </row>
    <row r="105" spans="1:5">
      <c r="A105" s="29" t="str">
        <f>REPT('Прайс-Лист'!A136,1)</f>
        <v>Изделие периклазохромитовое сводовое среднеплотное</v>
      </c>
      <c r="B105" s="29" t="str">
        <f>REPT('Прайс-Лист'!B136,1)</f>
        <v>Клин торцевой двухсторонний № 20</v>
      </c>
      <c r="C105" s="29" t="str">
        <f>REPT('Прайс-Лист'!C136,1)</f>
        <v>460х150х65х50 (ГОСТ 10888-93)</v>
      </c>
      <c r="D105" s="29" t="str">
        <f>REPT('Прайс-Лист'!D136,1)</f>
        <v>98600</v>
      </c>
      <c r="E105" s="30" t="s">
        <v>153</v>
      </c>
    </row>
    <row r="106" spans="1:5">
      <c r="A106" s="29" t="str">
        <f>REPT('Прайс-Лист'!A137,1)</f>
        <v>Изделие периклазохромитовое сводовое среднеплотное</v>
      </c>
      <c r="B106" s="29" t="str">
        <f>REPT('Прайс-Лист'!B137,1)</f>
        <v>Клин торцевой двухсторонний № 21</v>
      </c>
      <c r="C106" s="29" t="str">
        <f>REPT('Прайс-Лист'!C137,1)</f>
        <v>460х150х77х71 (ГОСТ 10888-93)</v>
      </c>
      <c r="D106" s="29" t="str">
        <f>REPT('Прайс-Лист'!D137,1)</f>
        <v>98600</v>
      </c>
      <c r="E106" s="30" t="s">
        <v>153</v>
      </c>
    </row>
    <row r="107" spans="1:5">
      <c r="A107" s="29" t="str">
        <f>REPT('Прайс-Лист'!A138,1)</f>
        <v>Изделие периклазохромитовое сводовое среднеплотное</v>
      </c>
      <c r="B107" s="29" t="str">
        <f>REPT('Прайс-Лист'!B138,1)</f>
        <v>Клин торцевой двухсторонний № 22</v>
      </c>
      <c r="C107" s="29" t="str">
        <f>REPT('Прайс-Лист'!C138,1)</f>
        <v>460х150х79х68 (ГОСТ 10888-93)</v>
      </c>
      <c r="D107" s="29" t="str">
        <f>REPT('Прайс-Лист'!D138,1)</f>
        <v>98600</v>
      </c>
      <c r="E107" s="30" t="s">
        <v>153</v>
      </c>
    </row>
    <row r="108" spans="1:5">
      <c r="A108" s="29" t="str">
        <f>REPT('Прайс-Лист'!A139,1)</f>
        <v>Изделие периклазохромитовое сводовое среднеплотное</v>
      </c>
      <c r="B108" s="29" t="str">
        <f>REPT('Прайс-Лист'!B139,1)</f>
        <v>Клин торцевой двухсторонний № 23</v>
      </c>
      <c r="C108" s="29" t="str">
        <f>REPT('Прайс-Лист'!C139,1)</f>
        <v>460х150х83х75 (ГОСТ 10888-93)</v>
      </c>
      <c r="D108" s="29" t="str">
        <f>REPT('Прайс-Лист'!D139,1)</f>
        <v>98600</v>
      </c>
      <c r="E108" s="30" t="s">
        <v>153</v>
      </c>
    </row>
    <row r="109" spans="1:5">
      <c r="A109" s="29" t="str">
        <f>REPT('Прайс-Лист'!A140,1)</f>
        <v>Изделие периклазохромитовое сводовое среднеплотное</v>
      </c>
      <c r="B109" s="29" t="str">
        <f>REPT('Прайс-Лист'!B140,1)</f>
        <v>Клин торцевой двухсторонний № 24</v>
      </c>
      <c r="C109" s="29" t="str">
        <f>REPT('Прайс-Лист'!C140,1)</f>
        <v>460х150х90х78 (ГОСТ 10888-93)</v>
      </c>
      <c r="D109" s="29" t="str">
        <f>REPT('Прайс-Лист'!D140,1)</f>
        <v>98600</v>
      </c>
      <c r="E109" s="30" t="s">
        <v>153</v>
      </c>
    </row>
    <row r="110" spans="1:5">
      <c r="A110" s="29" t="str">
        <f>REPT('Прайс-Лист'!A141,1)</f>
        <v>Изделие периклазохромитовое сводовое среднеплотное</v>
      </c>
      <c r="B110" s="29" t="str">
        <f>REPT('Прайс-Лист'!B141,1)</f>
        <v>Клин торцевой двухсторонний № 25</v>
      </c>
      <c r="C110" s="29" t="str">
        <f>REPT('Прайс-Лист'!C141,1)</f>
        <v>460х150х90х83 (ГОСТ 10888-93)</v>
      </c>
      <c r="D110" s="29" t="str">
        <f>REPT('Прайс-Лист'!D141,1)</f>
        <v>98600</v>
      </c>
      <c r="E110" s="30" t="s">
        <v>153</v>
      </c>
    </row>
    <row r="111" spans="1:5">
      <c r="A111" s="29" t="str">
        <f>REPT('Прайс-Лист'!A142,1)</f>
        <v>Изделие периклазохромитовое сводовое среднеплотное</v>
      </c>
      <c r="B111" s="29" t="str">
        <f>REPT('Прайс-Лист'!B142,1)</f>
        <v>Клин торцевой двухсторонний № 26</v>
      </c>
      <c r="C111" s="29" t="str">
        <f>REPT('Прайс-Лист'!C142,1)</f>
        <v>520х150х79х70 (ГОСТ 10888-93)</v>
      </c>
      <c r="D111" s="29" t="str">
        <f>REPT('Прайс-Лист'!D142,1)</f>
        <v>98600</v>
      </c>
      <c r="E111" s="30" t="s">
        <v>153</v>
      </c>
    </row>
    <row r="112" spans="1:5">
      <c r="A112" s="29" t="str">
        <f>REPT('Прайс-Лист'!A143,1)</f>
        <v>Изделие периклазохромитовое сводовое среднеплотное</v>
      </c>
      <c r="B112" s="29" t="str">
        <f>REPT('Прайс-Лист'!B143,1)</f>
        <v>Клин торцевой двухсторонний № 27</v>
      </c>
      <c r="C112" s="29" t="str">
        <f>REPT('Прайс-Лист'!C143,1)</f>
        <v>520х150х84х75 (ГОСТ 10888-93)</v>
      </c>
      <c r="D112" s="29" t="str">
        <f>REPT('Прайс-Лист'!D143,1)</f>
        <v>98600</v>
      </c>
      <c r="E112" s="30" t="s">
        <v>153</v>
      </c>
    </row>
    <row r="113" spans="1:5">
      <c r="A113" s="29" t="str">
        <f>REPT('Прайс-Лист'!A144,1)</f>
        <v>Изделие периклазохромитовое сводовое среднеплотное</v>
      </c>
      <c r="B113" s="29" t="str">
        <f>REPT('Прайс-Лист'!B144,1)</f>
        <v>Клин ребровый двухсторонний № 28</v>
      </c>
      <c r="C113" s="29" t="str">
        <f>REPT('Прайс-Лист'!C144,1)</f>
        <v>230х115х68х45 (ГОСТ 10888-93)</v>
      </c>
      <c r="D113" s="29" t="str">
        <f>REPT('Прайс-Лист'!D144,1)</f>
        <v>98600</v>
      </c>
      <c r="E113" s="30" t="s">
        <v>153</v>
      </c>
    </row>
    <row r="114" spans="1:5">
      <c r="A114" s="29" t="str">
        <f>REPT('Прайс-Лист'!A145,1)</f>
        <v>Изделие периклазохромитовое сводовое среднеплотное</v>
      </c>
      <c r="B114" s="29" t="str">
        <f>REPT('Прайс-Лист'!B145,1)</f>
        <v>Клин ребровый двухсторонний № 29</v>
      </c>
      <c r="C114" s="29" t="str">
        <f>REPT('Прайс-Лист'!C145,1)</f>
        <v>230х115х65х55 (ГОСТ 10888-93)</v>
      </c>
      <c r="D114" s="29" t="str">
        <f>REPT('Прайс-Лист'!D145,1)</f>
        <v>98600</v>
      </c>
      <c r="E114" s="30" t="s">
        <v>153</v>
      </c>
    </row>
    <row r="115" spans="1:5">
      <c r="A115" s="29" t="str">
        <f>REPT('Прайс-Лист'!A146,1)</f>
        <v>Изделие периклазохромитовое сводовое среднеплотное</v>
      </c>
      <c r="B115" s="29" t="str">
        <f>REPT('Прайс-Лист'!B146,1)</f>
        <v>Клин ребровый двухсторонний № 30</v>
      </c>
      <c r="C115" s="29" t="str">
        <f>REPT('Прайс-Лист'!C146,1)</f>
        <v>230х150х65х55 (ГОСТ 10888-93)</v>
      </c>
      <c r="D115" s="29" t="str">
        <f>REPT('Прайс-Лист'!D146,1)</f>
        <v>98600</v>
      </c>
      <c r="E115" s="30" t="s">
        <v>153</v>
      </c>
    </row>
    <row r="116" spans="1:5">
      <c r="A116" s="29" t="str">
        <f>REPT('Прайс-Лист'!A147,1)</f>
        <v>Изделие периклазохромитовое сводовое среднеплотное</v>
      </c>
      <c r="B116" s="29" t="str">
        <f>REPT('Прайс-Лист'!B147,1)</f>
        <v>Клин ребровый двухсторонний № 31</v>
      </c>
      <c r="C116" s="29" t="str">
        <f>REPT('Прайс-Лист'!C147,1)</f>
        <v>300х150х65х55 (ГОСТ 10888-93)</v>
      </c>
      <c r="D116" s="29" t="str">
        <f>REPT('Прайс-Лист'!D147,1)</f>
        <v>98600</v>
      </c>
      <c r="E116" s="30" t="s">
        <v>153</v>
      </c>
    </row>
    <row r="117" spans="1:5">
      <c r="A117" s="29" t="str">
        <f>REPT('Прайс-Лист'!A148,1)</f>
        <v>Изделие периклазохромитовое сводовое среднеплотное</v>
      </c>
      <c r="B117" s="29" t="str">
        <f>REPT('Прайс-Лист'!B148,1)</f>
        <v>Клин ребровый двухсторонний № 32</v>
      </c>
      <c r="C117" s="29" t="str">
        <f>REPT('Прайс-Лист'!C148,1)</f>
        <v>300х150х75х55 (ГОСТ 10888-93)</v>
      </c>
      <c r="D117" s="29" t="str">
        <f>REPT('Прайс-Лист'!D148,1)</f>
        <v>98600</v>
      </c>
      <c r="E117" s="30" t="s">
        <v>153</v>
      </c>
    </row>
    <row r="118" spans="1:5">
      <c r="A118" s="29" t="str">
        <f>REPT('Прайс-Лист'!A149,1)</f>
        <v>Изделие периклазохромитовое сводовое среднеплотное</v>
      </c>
      <c r="B118" s="29" t="str">
        <f>REPT('Прайс-Лист'!B149,1)</f>
        <v>Клин ребровый двухсторонний № 33</v>
      </c>
      <c r="C118" s="29" t="str">
        <f>REPT('Прайс-Лист'!C149,1)</f>
        <v>300х150х75х65 (ГОСТ 10888-93)</v>
      </c>
      <c r="D118" s="29" t="str">
        <f>REPT('Прайс-Лист'!D149,1)</f>
        <v>98600</v>
      </c>
      <c r="E118" s="30" t="s">
        <v>153</v>
      </c>
    </row>
    <row r="119" spans="1:5">
      <c r="A119" s="29" t="str">
        <f>REPT('Прайс-Лист'!A150,1)</f>
        <v>Изделие периклазохромитовое сводовое среднеплотное</v>
      </c>
      <c r="B119" s="29" t="str">
        <f>REPT('Прайс-Лист'!B150,1)</f>
        <v>Клин ребровый двухсторонний № 34</v>
      </c>
      <c r="C119" s="29" t="str">
        <f>REPT('Прайс-Лист'!C150,1)</f>
        <v>300х150х90х80 (ГОСТ 10888-93)</v>
      </c>
      <c r="D119" s="29" t="str">
        <f>REPT('Прайс-Лист'!D150,1)</f>
        <v>98600</v>
      </c>
      <c r="E119" s="30" t="s">
        <v>153</v>
      </c>
    </row>
    <row r="120" spans="1:5">
      <c r="A120" s="29" t="str">
        <f>REPT('Прайс-Лист'!A151,1)</f>
        <v>Изделие периклазохромитовое сводовое среднеплотное</v>
      </c>
      <c r="B120" s="29" t="str">
        <f>REPT('Прайс-Лист'!B151,1)</f>
        <v>Клин переходный (радиальный) двухсторонний № 35</v>
      </c>
      <c r="C120" s="29" t="str">
        <f>REPT('Прайс-Лист'!C151,1)</f>
        <v>230х115х93х65 (ГОСТ 10888-93)</v>
      </c>
      <c r="D120" s="29" t="str">
        <f>REPT('Прайс-Лист'!D151,1)</f>
        <v>98600</v>
      </c>
      <c r="E120" s="30" t="s">
        <v>153</v>
      </c>
    </row>
    <row r="121" spans="1:5">
      <c r="A121" s="29" t="str">
        <f>REPT('Прайс-Лист'!A152,1)</f>
        <v>Изделие периклазохромитовое сводовое среднеплотное</v>
      </c>
      <c r="B121" s="29" t="str">
        <f>REPT('Прайс-Лист'!B152,1)</f>
        <v>Клин переходный (радиальный) двухсторонний № 36</v>
      </c>
      <c r="C121" s="29" t="str">
        <f>REPT('Прайс-Лист'!C152,1)</f>
        <v>300х150х135х75 (ГОСТ 10888-93)</v>
      </c>
      <c r="D121" s="29" t="str">
        <f>REPT('Прайс-Лист'!D152,1)</f>
        <v>98600</v>
      </c>
      <c r="E121" s="30" t="s">
        <v>153</v>
      </c>
    </row>
    <row r="122" spans="1:5">
      <c r="A122" s="29" t="str">
        <f>REPT('Прайс-Лист'!A153,1)</f>
        <v>Изделие периклазохромитовое сводовое среднеплотное</v>
      </c>
      <c r="B122" s="29" t="str">
        <f>REPT('Прайс-Лист'!B153,1)</f>
        <v>Клин переходный (радиальный) двухсторонний № 37</v>
      </c>
      <c r="C122" s="29" t="str">
        <f>REPT('Прайс-Лист'!C153,1)</f>
        <v>300х150х80х75 (ГОСТ 10888-93)</v>
      </c>
      <c r="D122" s="29" t="str">
        <f>REPT('Прайс-Лист'!D153,1)</f>
        <v>98600</v>
      </c>
      <c r="E122" s="30" t="s">
        <v>153</v>
      </c>
    </row>
    <row r="123" spans="1:5">
      <c r="A123" s="29" t="str">
        <f>REPT('Прайс-Лист'!A154,1)</f>
        <v>Изделие периклазохромитовое сводовое среднеплотное</v>
      </c>
      <c r="B123" s="29" t="str">
        <f>REPT('Прайс-Лист'!B154,1)</f>
        <v>Клин переходный (радиальный) двухсторонний № 38</v>
      </c>
      <c r="C123" s="29" t="str">
        <f>REPT('Прайс-Лист'!C154,1)</f>
        <v>380х150х96х90 (ГОСТ 10888-93)</v>
      </c>
      <c r="D123" s="29" t="str">
        <f>REPT('Прайс-Лист'!D154,1)</f>
        <v>98600</v>
      </c>
      <c r="E123" s="30" t="s">
        <v>153</v>
      </c>
    </row>
    <row r="124" spans="1:5">
      <c r="A124" s="29" t="str">
        <f>REPT('Прайс-Лист'!A155,1)</f>
        <v>Изделие периклазохромитовое сводовое среднеплотное</v>
      </c>
      <c r="B124" s="29" t="str">
        <f>REPT('Прайс-Лист'!B155,1)</f>
        <v>Клин переходный (радиальный) двухсторонний № 39</v>
      </c>
      <c r="C124" s="29" t="str">
        <f>REPT('Прайс-Лист'!C155,1)</f>
        <v>460х150х85х90 (ГОСТ 10888-93)</v>
      </c>
      <c r="D124" s="29" t="str">
        <f>REPT('Прайс-Лист'!D155,1)</f>
        <v>98600</v>
      </c>
      <c r="E124" s="30" t="s">
        <v>153</v>
      </c>
    </row>
    <row r="125" spans="1:5">
      <c r="A125" s="29" t="str">
        <f>REPT('Прайс-Лист'!A156,1)</f>
        <v>Изделие периклазохромитовое сводовое среднеплотное</v>
      </c>
      <c r="B125" s="29" t="str">
        <f>REPT('Прайс-Лист'!B156,1)</f>
        <v>Клин переходный (радиальный) двухсторонний № 40</v>
      </c>
      <c r="C125" s="29" t="str">
        <f>REPT('Прайс-Лист'!C156,1)</f>
        <v>460х150х130х90 (ГОСТ 10888-93)</v>
      </c>
      <c r="D125" s="29" t="str">
        <f>REPT('Прайс-Лист'!D156,1)</f>
        <v>98600</v>
      </c>
      <c r="E125" s="30" t="s">
        <v>153</v>
      </c>
    </row>
    <row r="126" spans="1:5">
      <c r="A126" s="29" t="str">
        <f>REPT('Прайс-Лист'!A157,1)</f>
        <v>Изделие периклазохромитовое сводовое среднеплотное</v>
      </c>
      <c r="B126" s="29" t="str">
        <f>REPT('Прайс-Лист'!B157,1)</f>
        <v>Клин переходный (радиальный) двухсторонний № 41</v>
      </c>
      <c r="C126" s="29" t="str">
        <f>REPT('Прайс-Лист'!C157,1)</f>
        <v>520х154х80х90 (ГОСТ 10888-93)</v>
      </c>
      <c r="D126" s="29" t="str">
        <f>REPT('Прайс-Лист'!D157,1)</f>
        <v>98600</v>
      </c>
      <c r="E126" s="30" t="s">
        <v>153</v>
      </c>
    </row>
    <row r="127" spans="1:5">
      <c r="A127" s="29" t="str">
        <f>REPT('Прайс-Лист'!A158,1)</f>
        <v>Изделие периклазохромитовое сводовое среднеплотное</v>
      </c>
      <c r="B127" s="29" t="str">
        <f>REPT('Прайс-Лист'!B158,1)</f>
        <v>Клин пирамидальный двухсторонний № 42</v>
      </c>
      <c r="C127" s="29" t="str">
        <f>REPT('Прайс-Лист'!C158,1)</f>
        <v>230х115х93х65х55 (ГОСТ 10888-93)</v>
      </c>
      <c r="D127" s="29" t="str">
        <f>REPT('Прайс-Лист'!D158,1)</f>
        <v>98600</v>
      </c>
      <c r="E127" s="30" t="s">
        <v>153</v>
      </c>
    </row>
    <row r="128" spans="1:5">
      <c r="A128" s="29" t="str">
        <f>REPT('Прайс-Лист'!A159,1)</f>
        <v>Изделие хромитопериклазовое (ХП5)</v>
      </c>
      <c r="B128" s="29" t="str">
        <f>REPT('Прайс-Лист'!B159,1)</f>
        <v>Кирпич прямой №1</v>
      </c>
      <c r="C128" s="29" t="str">
        <f>REPT('Прайс-Лист'!C159,1)</f>
        <v>230х115х65 (ГОСТ 5381-93)</v>
      </c>
      <c r="D128" s="29" t="str">
        <f>REPT('Прайс-Лист'!D159,1)</f>
        <v>102800</v>
      </c>
      <c r="E128" s="30" t="s">
        <v>153</v>
      </c>
    </row>
    <row r="129" spans="1:5">
      <c r="A129" s="29" t="str">
        <f>REPT('Прайс-Лист'!A160,1)</f>
        <v>Изделие хромитопериклазовое (ХП5)</v>
      </c>
      <c r="B129" s="29" t="str">
        <f>REPT('Прайс-Лист'!B160,1)</f>
        <v>Клин торцовый (двусторонний и односторонний) №3</v>
      </c>
      <c r="C129" s="29" t="str">
        <f>REPT('Прайс-Лист'!C160,1)</f>
        <v>230х115х65х45 (ГОСТ 5381-93)</v>
      </c>
      <c r="D129" s="29" t="str">
        <f>REPT('Прайс-Лист'!D160,1)</f>
        <v>104600</v>
      </c>
      <c r="E129" s="30" t="s">
        <v>153</v>
      </c>
    </row>
    <row r="130" spans="1:5">
      <c r="A130" s="29" t="str">
        <f>REPT('Прайс-Лист'!A161,1)</f>
        <v>Изделие хромитопериклазовое (ХП5)</v>
      </c>
      <c r="B130" s="29" t="str">
        <f>REPT('Прайс-Лист'!B161,1)</f>
        <v>Клин торцовый (двусторонний и односторонний) №4</v>
      </c>
      <c r="C130" s="29" t="str">
        <f>REPT('Прайс-Лист'!C161,1)</f>
        <v>230х115х65х55 (ГОСТ 5381-93)</v>
      </c>
      <c r="D130" s="29" t="str">
        <f>REPT('Прайс-Лист'!D161,1)</f>
        <v>104600</v>
      </c>
      <c r="E130" s="30" t="s">
        <v>153</v>
      </c>
    </row>
    <row r="131" spans="1:5">
      <c r="A131" s="29" t="str">
        <f>REPT('Прайс-Лист'!A162,1)</f>
        <v>Изделие хромитопериклазовое (ХП3)</v>
      </c>
      <c r="B131" s="29" t="str">
        <f>REPT('Прайс-Лист'!B162,1)</f>
        <v>Кирпич прямой №1</v>
      </c>
      <c r="C131" s="29" t="str">
        <f>REPT('Прайс-Лист'!C162,1)</f>
        <v>230х115х65 (ГОСТ 5381-93)</v>
      </c>
      <c r="D131" s="29" t="str">
        <f>REPT('Прайс-Лист'!D162,1)</f>
        <v>108200</v>
      </c>
      <c r="E131" s="30" t="s">
        <v>153</v>
      </c>
    </row>
    <row r="132" spans="1:5">
      <c r="A132" s="29" t="str">
        <f>REPT('Прайс-Лист'!A163,1)</f>
        <v>Изделие периклазовое (П91)</v>
      </c>
      <c r="B132" s="29" t="str">
        <f>REPT('Прайс-Лист'!B163,1)</f>
        <v>Кирпич прямой №1</v>
      </c>
      <c r="C132" s="29" t="str">
        <f>REPT('Прайс-Лист'!C163,1)</f>
        <v>230х115х65 (ГОСТ 4689-94)</v>
      </c>
      <c r="D132" s="29" t="str">
        <f>REPT('Прайс-Лист'!D163,1)</f>
        <v>86800</v>
      </c>
      <c r="E132" s="30" t="s">
        <v>153</v>
      </c>
    </row>
    <row r="133" spans="1:5">
      <c r="A133" s="29" t="str">
        <f>REPT('Прайс-Лист'!A164,1)</f>
        <v>Изделие периклазовое (П91)</v>
      </c>
      <c r="B133" s="29" t="str">
        <f>REPT('Прайс-Лист'!B164,1)</f>
        <v>Клин радиальный двусторонний №15</v>
      </c>
      <c r="C133" s="29" t="str">
        <f>REPT('Прайс-Лист'!C164,1)</f>
        <v>230х115х93х65 (ГОСТ 4689-94)</v>
      </c>
      <c r="D133" s="29" t="str">
        <f>REPT('Прайс-Лист'!D164,1)</f>
        <v>92600</v>
      </c>
      <c r="E133" s="30" t="s">
        <v>153</v>
      </c>
    </row>
    <row r="134" spans="1:5" s="108" customFormat="1" ht="15" thickBot="1">
      <c r="A134" s="106" t="str">
        <f>REPT('Прайс-Лист'!A165,1)</f>
        <v>Изделие периклазовое (П91)</v>
      </c>
      <c r="B134" s="106" t="str">
        <f>REPT('Прайс-Лист'!B165,1)</f>
        <v>Клин радиальный двусторонний №16</v>
      </c>
      <c r="C134" s="106" t="str">
        <f>REPT('Прайс-Лист'!C165,1)</f>
        <v>230х115х70х65 (ГОСТ 4689-94)</v>
      </c>
      <c r="D134" s="106" t="str">
        <f>REPT('Прайс-Лист'!D165,1)</f>
        <v>92600</v>
      </c>
      <c r="E134" s="107" t="s">
        <v>153</v>
      </c>
    </row>
    <row r="135" spans="1:5">
      <c r="A135" s="29" t="str">
        <f>REPT('Прайс-Лист'!A170,1)</f>
        <v>Изделие муллито-корундовое среднеплотное (МКС-72)</v>
      </c>
      <c r="B135" s="29" t="str">
        <f>REPT('Прайс-Лист'!B170,1)</f>
        <v>Кирпич прямой №5</v>
      </c>
      <c r="C135" s="29" t="str">
        <f>REPT('Прайс-Лист'!C170,1)</f>
        <v>230х114х65 (ГОСТ 8691-73)</v>
      </c>
      <c r="D135" s="29" t="str">
        <f>REPT('Прайс-Лист'!D170,1)</f>
        <v>103600</v>
      </c>
      <c r="E135" s="30" t="s">
        <v>153</v>
      </c>
    </row>
    <row r="136" spans="1:5">
      <c r="A136" s="29" t="str">
        <f>REPT('Прайс-Лист'!A171,1)</f>
        <v>Изделие муллито-корундовое среднеплотное (МКС-72)</v>
      </c>
      <c r="B136" s="29" t="str">
        <f>REPT('Прайс-Лист'!B171,1)</f>
        <v>Кирпич прямой №8</v>
      </c>
      <c r="C136" s="29" t="str">
        <f>REPT('Прайс-Лист'!C171,1)</f>
        <v>250х124х65 (ГОСТ 8691-73)</v>
      </c>
      <c r="D136" s="29" t="str">
        <f>REPT('Прайс-Лист'!D171,1)</f>
        <v>103600</v>
      </c>
      <c r="E136" s="30" t="s">
        <v>153</v>
      </c>
    </row>
    <row r="137" spans="1:5">
      <c r="A137" s="29" t="str">
        <f>REPT('Прайс-Лист'!A172,1)</f>
        <v>Изделие муллитовое среднеплотное (МЛС-62)</v>
      </c>
      <c r="B137" s="29" t="str">
        <f>REPT('Прайс-Лист'!B172,1)</f>
        <v>Кирпич прямой №5</v>
      </c>
      <c r="C137" s="29" t="str">
        <f>REPT('Прайс-Лист'!C172,1)</f>
        <v>230х114х65 (ГОСТ 8691-73)</v>
      </c>
      <c r="D137" s="29" t="str">
        <f>REPT('Прайс-Лист'!D172,1)</f>
        <v>103600</v>
      </c>
      <c r="E137" s="30" t="s">
        <v>153</v>
      </c>
    </row>
    <row r="138" spans="1:5">
      <c r="A138" s="29" t="str">
        <f>REPT('Прайс-Лист'!A173,1)</f>
        <v>Изделие муллитовое среднеплотное (МЛС-62)</v>
      </c>
      <c r="B138" s="29" t="str">
        <f>REPT('Прайс-Лист'!B173,1)</f>
        <v>Кирпич прямой №8</v>
      </c>
      <c r="C138" s="29" t="str">
        <f>REPT('Прайс-Лист'!C173,1)</f>
        <v>250х124х65 (ГОСТ 8691-73)</v>
      </c>
      <c r="D138" s="29" t="str">
        <f>REPT('Прайс-Лист'!D173,1)</f>
        <v>103600</v>
      </c>
      <c r="E138" s="30" t="s">
        <v>153</v>
      </c>
    </row>
    <row r="139" spans="1:5">
      <c r="A139" s="29" t="str">
        <f>REPT('Прайс-Лист'!A174,1)</f>
        <v>Изделие корундовое среднеплотное (КСП-90)</v>
      </c>
      <c r="B139" s="29" t="str">
        <f>REPT('Прайс-Лист'!B174,1)</f>
        <v>Кирпич прямой №5</v>
      </c>
      <c r="C139" s="29" t="str">
        <f>REPT('Прайс-Лист'!C174,1)</f>
        <v>230х114х65 (ГОСТ 8691-73)</v>
      </c>
      <c r="D139" s="29" t="str">
        <f>REPT('Прайс-Лист'!D174,1)</f>
        <v>260000</v>
      </c>
      <c r="E139" s="30" t="s">
        <v>153</v>
      </c>
    </row>
    <row r="140" spans="1:5">
      <c r="A140" s="29" t="str">
        <f>REPT('Прайс-Лист'!A175,1)</f>
        <v>Изделие корундовое среднеплотное (КСП-90)</v>
      </c>
      <c r="B140" s="29" t="str">
        <f>REPT('Прайс-Лист'!B175,1)</f>
        <v>Кирпич прямой №8</v>
      </c>
      <c r="C140" s="29" t="str">
        <f>REPT('Прайс-Лист'!C175,1)</f>
        <v>250х124х65 (ГОСТ 8691-73)</v>
      </c>
      <c r="D140" s="29" t="str">
        <f>REPT('Прайс-Лист'!D175,1)</f>
        <v>260000</v>
      </c>
      <c r="E140" s="30" t="s">
        <v>153</v>
      </c>
    </row>
    <row r="141" spans="1:5">
      <c r="A141" s="29" t="str">
        <f>REPT('Прайс-Лист'!A176,1)</f>
        <v>Изделие корундовое среднеплотное (КСП-96)</v>
      </c>
      <c r="B141" s="29" t="str">
        <f>REPT('Прайс-Лист'!B176,1)</f>
        <v>Кирпич прямой №5</v>
      </c>
      <c r="C141" s="29" t="str">
        <f>REPT('Прайс-Лист'!C176,1)</f>
        <v>230х114х65 (ГОСТ 8691-73)</v>
      </c>
      <c r="D141" s="29" t="str">
        <f>REPT('Прайс-Лист'!D176,1)</f>
        <v>260000</v>
      </c>
      <c r="E141" s="30" t="s">
        <v>153</v>
      </c>
    </row>
    <row r="142" spans="1:5" s="108" customFormat="1" ht="15" thickBot="1">
      <c r="A142" s="106" t="str">
        <f>REPT('Прайс-Лист'!A177,1)</f>
        <v>Изделие корундовое среднеплотное (КСП-96)</v>
      </c>
      <c r="B142" s="106" t="str">
        <f>REPT('Прайс-Лист'!B177,1)</f>
        <v>Кирпич прямой №8</v>
      </c>
      <c r="C142" s="106" t="str">
        <f>REPT('Прайс-Лист'!C177,1)</f>
        <v>250х124х65 (ГОСТ 8691-73)</v>
      </c>
      <c r="D142" s="106" t="str">
        <f>REPT('Прайс-Лист'!D177,1)</f>
        <v>260000</v>
      </c>
      <c r="E142" s="109" t="s">
        <v>153</v>
      </c>
    </row>
    <row r="143" spans="1:5">
      <c r="A143" s="29" t="str">
        <f>REPT('Прайс-Лист'!A182,1)</f>
        <v>Порошок шамотный</v>
      </c>
      <c r="B143" s="29" t="str">
        <f>REPT('Прайс-Лист'!B182,1)</f>
        <v>ПШБМ</v>
      </c>
      <c r="C143" s="29" t="str">
        <f>REPT('Прайс-Лист'!C182,1)</f>
        <v>мешок 50кг</v>
      </c>
      <c r="D143" s="29" t="str">
        <f>REPT('Прайс-Лист'!D182,1)</f>
        <v>910</v>
      </c>
      <c r="E143" s="30" t="s">
        <v>154</v>
      </c>
    </row>
    <row r="144" spans="1:5">
      <c r="A144" s="29" t="str">
        <f>REPT('Прайс-Лист'!A183,1)</f>
        <v>Порошок шамотный</v>
      </c>
      <c r="B144" s="29" t="str">
        <f>REPT('Прайс-Лист'!B183,1)</f>
        <v>ПШБМ</v>
      </c>
      <c r="C144" s="29" t="str">
        <f>REPT('Прайс-Лист'!C183,1)</f>
        <v>биг/бэг 1000 кг</v>
      </c>
      <c r="D144" s="29" t="str">
        <f>REPT('Прайс-Лист'!D183,1)</f>
        <v>18200</v>
      </c>
      <c r="E144" s="30" t="s">
        <v>153</v>
      </c>
    </row>
    <row r="145" spans="1:5">
      <c r="A145" s="29" t="str">
        <f>REPT('Прайс-Лист'!A184,1)</f>
        <v>Глина огнеупорная</v>
      </c>
      <c r="B145" s="29" t="str">
        <f>REPT('Прайс-Лист'!B184,1)</f>
        <v>ПГБ</v>
      </c>
      <c r="C145" s="29" t="str">
        <f>REPT('Прайс-Лист'!C184,1)</f>
        <v>мешок 50кг</v>
      </c>
      <c r="D145" s="29" t="str">
        <f>REPT('Прайс-Лист'!D184,1)</f>
        <v>910</v>
      </c>
      <c r="E145" s="30" t="s">
        <v>154</v>
      </c>
    </row>
    <row r="146" spans="1:5">
      <c r="A146" s="29" t="str">
        <f>REPT('Прайс-Лист'!A185,1)</f>
        <v>Глина огнеупорная</v>
      </c>
      <c r="B146" s="29" t="str">
        <f>REPT('Прайс-Лист'!B185,1)</f>
        <v>ПГБ</v>
      </c>
      <c r="C146" s="29" t="str">
        <f>REPT('Прайс-Лист'!C185,1)</f>
        <v>биг/бэг 1000 кг</v>
      </c>
      <c r="D146" s="29" t="str">
        <f>REPT('Прайс-Лист'!D185,1)</f>
        <v>18200</v>
      </c>
      <c r="E146" s="30" t="s">
        <v>153</v>
      </c>
    </row>
    <row r="147" spans="1:5">
      <c r="A147" s="29" t="str">
        <f>REPT('Прайс-Лист'!A186,1)</f>
        <v>Мертель</v>
      </c>
      <c r="B147" s="29" t="str">
        <f>REPT('Прайс-Лист'!B186,1)</f>
        <v>МШ-32</v>
      </c>
      <c r="C147" s="29" t="str">
        <f>REPT('Прайс-Лист'!C186,1)</f>
        <v>мешок 50кг</v>
      </c>
      <c r="D147" s="29" t="str">
        <f>REPT('Прайс-Лист'!D186,1)</f>
        <v>910</v>
      </c>
      <c r="E147" s="30" t="s">
        <v>154</v>
      </c>
    </row>
    <row r="148" spans="1:5">
      <c r="A148" s="29" t="str">
        <f>REPT('Прайс-Лист'!A187,1)</f>
        <v>Мертель</v>
      </c>
      <c r="B148" s="29" t="str">
        <f>REPT('Прайс-Лист'!B187,1)</f>
        <v>МШ-32</v>
      </c>
      <c r="C148" s="29" t="str">
        <f>REPT('Прайс-Лист'!C187,1)</f>
        <v>биг/бэг 1000 кг</v>
      </c>
      <c r="D148" s="29" t="str">
        <f>REPT('Прайс-Лист'!D187,1)</f>
        <v>18200</v>
      </c>
      <c r="E148" s="30" t="s">
        <v>153</v>
      </c>
    </row>
    <row r="149" spans="1:5">
      <c r="A149" s="29" t="str">
        <f>REPT('Прайс-Лист'!A188,1)</f>
        <v>Мертель</v>
      </c>
      <c r="B149" s="29" t="str">
        <f>REPT('Прайс-Лист'!B188,1)</f>
        <v>МШ-36</v>
      </c>
      <c r="C149" s="29" t="str">
        <f>REPT('Прайс-Лист'!C188,1)</f>
        <v>мешок 50кг</v>
      </c>
      <c r="D149" s="29" t="str">
        <f>REPT('Прайс-Лист'!D188,1)</f>
        <v>970</v>
      </c>
      <c r="E149" s="30" t="s">
        <v>154</v>
      </c>
    </row>
    <row r="150" spans="1:5">
      <c r="A150" s="29" t="str">
        <f>REPT('Прайс-Лист'!A189,1)</f>
        <v>Мертель</v>
      </c>
      <c r="B150" s="29" t="str">
        <f>REPT('Прайс-Лист'!B189,1)</f>
        <v>МШ-36</v>
      </c>
      <c r="C150" s="29" t="str">
        <f>REPT('Прайс-Лист'!C189,1)</f>
        <v>биг/бэг 1000 кг</v>
      </c>
      <c r="D150" s="29" t="str">
        <f>REPT('Прайс-Лист'!D189,1)</f>
        <v>19400</v>
      </c>
      <c r="E150" s="30" t="s">
        <v>153</v>
      </c>
    </row>
    <row r="151" spans="1:5">
      <c r="A151" s="29" t="str">
        <f>REPT('Прайс-Лист'!A190,1)</f>
        <v>Мертель</v>
      </c>
      <c r="B151" s="29" t="str">
        <f>REPT('Прайс-Лист'!B190,1)</f>
        <v>МШ-39</v>
      </c>
      <c r="C151" s="29" t="str">
        <f>REPT('Прайс-Лист'!C190,1)</f>
        <v>мешок 50кг</v>
      </c>
      <c r="D151" s="29" t="str">
        <f>REPT('Прайс-Лист'!D190,1)</f>
        <v>1040</v>
      </c>
      <c r="E151" s="30" t="s">
        <v>154</v>
      </c>
    </row>
    <row r="152" spans="1:5">
      <c r="A152" s="29" t="str">
        <f>REPT('Прайс-Лист'!A191,1)</f>
        <v>Мертель</v>
      </c>
      <c r="B152" s="29" t="str">
        <f>REPT('Прайс-Лист'!B191,1)</f>
        <v>МШ-39</v>
      </c>
      <c r="C152" s="29" t="str">
        <f>REPT('Прайс-Лист'!C191,1)</f>
        <v>биг/бэг 1000 кг</v>
      </c>
      <c r="D152" s="29" t="str">
        <f>REPT('Прайс-Лист'!D191,1)</f>
        <v>20800</v>
      </c>
      <c r="E152" s="30" t="s">
        <v>153</v>
      </c>
    </row>
    <row r="153" spans="1:5" s="108" customFormat="1" ht="15" thickBot="1">
      <c r="A153" s="106" t="str">
        <f>REPT('Прайс-Лист'!A192,1)</f>
        <v>Глина</v>
      </c>
      <c r="B153" s="106" t="str">
        <f>REPT('Прайс-Лист'!B192,1)</f>
        <v>Глина Бентонитовая</v>
      </c>
      <c r="C153" s="106" t="str">
        <f>REPT('Прайс-Лист'!C192,1)</f>
        <v>биг/бэг 1000 кг</v>
      </c>
      <c r="D153" s="106" t="str">
        <f>REPT('Прайс-Лист'!D192,1)</f>
        <v>32800</v>
      </c>
      <c r="E153" s="107" t="s">
        <v>153</v>
      </c>
    </row>
    <row r="154" spans="1:5">
      <c r="A154" s="29" t="str">
        <f>REPT('Прайс-Лист'!A197,1)</f>
        <v>Плита вермикулитовая</v>
      </c>
      <c r="B154" s="29" t="str">
        <f>REPT('Прайс-Лист'!B197,1)</f>
        <v>ПВТН</v>
      </c>
      <c r="C154" s="29" t="str">
        <f>REPT('Прайс-Лист'!C197,1)</f>
        <v>1200х600х20</v>
      </c>
      <c r="D154" s="29" t="str">
        <f>REPT('Прайс-Лист'!D197,1)</f>
        <v>94000</v>
      </c>
      <c r="E154" s="30" t="s">
        <v>396</v>
      </c>
    </row>
    <row r="155" spans="1:5">
      <c r="A155" s="29" t="str">
        <f>REPT('Прайс-Лист'!A198,1)</f>
        <v>Плита вермикулитовая</v>
      </c>
      <c r="B155" s="29" t="str">
        <f>REPT('Прайс-Лист'!B198,1)</f>
        <v>ПВТН</v>
      </c>
      <c r="C155" s="29" t="str">
        <f>REPT('Прайс-Лист'!C198,1)</f>
        <v>1200х600х30</v>
      </c>
      <c r="D155" s="29" t="str">
        <f>REPT('Прайс-Лист'!D198,1)</f>
        <v>94000</v>
      </c>
      <c r="E155" s="30" t="s">
        <v>396</v>
      </c>
    </row>
    <row r="156" spans="1:5">
      <c r="A156" s="29" t="str">
        <f>REPT('Прайс-Лист'!A199,1)</f>
        <v>Плита вермикулитовая</v>
      </c>
      <c r="B156" s="29" t="str">
        <f>REPT('Прайс-Лист'!B199,1)</f>
        <v>ПВТН</v>
      </c>
      <c r="C156" s="29" t="str">
        <f>REPT('Прайс-Лист'!C199,1)</f>
        <v>1200х600х40</v>
      </c>
      <c r="D156" s="29" t="str">
        <f>REPT('Прайс-Лист'!D199,1)</f>
        <v>94000</v>
      </c>
      <c r="E156" s="30" t="s">
        <v>396</v>
      </c>
    </row>
    <row r="157" spans="1:5">
      <c r="A157" s="29" t="str">
        <f>REPT('Прайс-Лист'!A200,1)</f>
        <v>Плита вермикулитовая</v>
      </c>
      <c r="B157" s="29" t="str">
        <f>REPT('Прайс-Лист'!B200,1)</f>
        <v>ПВТН</v>
      </c>
      <c r="C157" s="29" t="str">
        <f>REPT('Прайс-Лист'!C200,1)</f>
        <v>1200х600х50</v>
      </c>
      <c r="D157" s="29" t="str">
        <f>REPT('Прайс-Лист'!D200,1)</f>
        <v>94000</v>
      </c>
      <c r="E157" s="30" t="s">
        <v>396</v>
      </c>
    </row>
    <row r="158" spans="1:5">
      <c r="A158" s="29" t="str">
        <f>REPT('Прайс-Лист'!A201,1)</f>
        <v>Плита вермикулитовая</v>
      </c>
      <c r="B158" s="29" t="str">
        <f>REPT('Прайс-Лист'!B201,1)</f>
        <v>ПВТН</v>
      </c>
      <c r="C158" s="29" t="str">
        <f>REPT('Прайс-Лист'!C201,1)</f>
        <v>1200х600х60</v>
      </c>
      <c r="D158" s="29" t="str">
        <f>REPT('Прайс-Лист'!D201,1)</f>
        <v>94000</v>
      </c>
      <c r="E158" s="30" t="s">
        <v>396</v>
      </c>
    </row>
    <row r="159" spans="1:5">
      <c r="A159" s="29" t="str">
        <f>REPT('Прайс-Лист'!A202,1)</f>
        <v>Плита вермикулитовая</v>
      </c>
      <c r="B159" s="29" t="str">
        <f>REPT('Прайс-Лист'!B202,1)</f>
        <v>ПВТН</v>
      </c>
      <c r="C159" s="29" t="str">
        <f>REPT('Прайс-Лист'!C202,1)</f>
        <v>1200х600х70</v>
      </c>
      <c r="D159" s="29" t="str">
        <f>REPT('Прайс-Лист'!D202,1)</f>
        <v>94000</v>
      </c>
      <c r="E159" s="30" t="s">
        <v>396</v>
      </c>
    </row>
    <row r="160" spans="1:5">
      <c r="A160" s="29" t="str">
        <f>REPT('Прайс-Лист'!A203,1)</f>
        <v>Плита вермикулитовая</v>
      </c>
      <c r="B160" s="29" t="str">
        <f>REPT('Прайс-Лист'!B203,1)</f>
        <v>ПВТН</v>
      </c>
      <c r="C160" s="29" t="str">
        <f>REPT('Прайс-Лист'!C203,1)</f>
        <v>1200х600х80</v>
      </c>
      <c r="D160" s="29" t="str">
        <f>REPT('Прайс-Лист'!D203,1)</f>
        <v>94000</v>
      </c>
      <c r="E160" s="30" t="s">
        <v>396</v>
      </c>
    </row>
    <row r="161" spans="1:5">
      <c r="A161" s="29" t="str">
        <f>REPT('Прайс-Лист'!A204,1)</f>
        <v>Плита вермикулитовая</v>
      </c>
      <c r="B161" s="29" t="str">
        <f>REPT('Прайс-Лист'!B204,1)</f>
        <v>ПВТН</v>
      </c>
      <c r="C161" s="29" t="str">
        <f>REPT('Прайс-Лист'!C204,1)</f>
        <v>1200х600х90</v>
      </c>
      <c r="D161" s="29" t="str">
        <f>REPT('Прайс-Лист'!D204,1)</f>
        <v>94000</v>
      </c>
      <c r="E161" s="30" t="s">
        <v>396</v>
      </c>
    </row>
    <row r="162" spans="1:5">
      <c r="A162" s="29" t="str">
        <f>REPT('Прайс-Лист'!A205,1)</f>
        <v>Плита вермикулитовая</v>
      </c>
      <c r="B162" s="29" t="str">
        <f>REPT('Прайс-Лист'!B205,1)</f>
        <v>ПВТН</v>
      </c>
      <c r="C162" s="29" t="str">
        <f>REPT('Прайс-Лист'!C205,1)</f>
        <v>1200х600х100</v>
      </c>
      <c r="D162" s="29" t="str">
        <f>REPT('Прайс-Лист'!D205,1)</f>
        <v>94000</v>
      </c>
      <c r="E162" s="30" t="s">
        <v>396</v>
      </c>
    </row>
    <row r="163" spans="1:5" s="108" customFormat="1" ht="15" thickBot="1">
      <c r="A163" s="106" t="str">
        <f>REPT('Прайс-Лист'!A206,1)</f>
        <v>Вермикулит</v>
      </c>
      <c r="B163" s="106" t="str">
        <f>REPT('Прайс-Лист'!B206,1)</f>
        <v>Вермикулит вспученный</v>
      </c>
      <c r="C163" s="106" t="str">
        <f>REPT('Прайс-Лист'!C206,1)</f>
        <v>1м3 = 15 мешков/1 мешок - 67кг (ГОСТ 12865-67)</v>
      </c>
      <c r="D163" s="106" t="str">
        <f>REPT('Прайс-Лист'!D206,1)</f>
        <v>16800</v>
      </c>
      <c r="E163" s="109" t="s">
        <v>396</v>
      </c>
    </row>
    <row r="164" spans="1:5">
      <c r="A164" s="29" t="str">
        <f>REPT('Прайс-Лист'!A211,1)</f>
        <v>Изделие пено/диатомитовое</v>
      </c>
      <c r="B164" s="29" t="str">
        <f>REPT('Прайс-Лист'!B211,1)</f>
        <v>Кирпич пенодиатомитовый КПД-400</v>
      </c>
      <c r="C164" s="29" t="str">
        <f>REPT('Прайс-Лист'!C211,1)</f>
        <v>230х113х65 (ГОСТ 2694-78) 1,2м3=600 шт</v>
      </c>
      <c r="D164" s="29" t="str">
        <f>REPT('Прайс-Лист'!D211,1)</f>
        <v>43650</v>
      </c>
      <c r="E164" s="30" t="s">
        <v>396</v>
      </c>
    </row>
    <row r="165" spans="1:5" s="108" customFormat="1" ht="15" thickBot="1">
      <c r="A165" s="106" t="str">
        <f>REPT('Прайс-Лист'!A212,1)</f>
        <v>Порошки</v>
      </c>
      <c r="B165" s="106" t="str">
        <f>REPT('Прайс-Лист'!B212,1)</f>
        <v>Порошок диатомитовый</v>
      </c>
      <c r="C165" s="106" t="str">
        <f>REPT('Прайс-Лист'!C212,1)</f>
        <v>1м3 = 380 кг</v>
      </c>
      <c r="D165" s="106" t="str">
        <f>REPT('Прайс-Лист'!D212,1)</f>
        <v>21420</v>
      </c>
      <c r="E165" s="107" t="s">
        <v>396</v>
      </c>
    </row>
    <row r="166" spans="1:5">
      <c r="A166" s="29" t="str">
        <f>REPT('Прайс-Лист'!A217,1)</f>
        <v>Заполнитель периклазохромитовый</v>
      </c>
      <c r="B166" s="29" t="str">
        <f>REPT('Прайс-Лист'!B217,1)</f>
        <v>ЗПХ</v>
      </c>
      <c r="C166" s="29" t="str">
        <f>REPT('Прайс-Лист'!C217,1)</f>
        <v>биг/бэг 1000 кг</v>
      </c>
      <c r="D166" s="29" t="str">
        <f>REPT('Прайс-Лист'!D217,1)</f>
        <v>118000</v>
      </c>
      <c r="E166" s="30" t="s">
        <v>153</v>
      </c>
    </row>
    <row r="167" spans="1:5">
      <c r="A167" s="29" t="str">
        <f>REPT('Прайс-Лист'!A218,1)</f>
        <v>Заполнитель хромитопериклазовый</v>
      </c>
      <c r="B167" s="29" t="str">
        <f>REPT('Прайс-Лист'!B218,1)</f>
        <v>ЗХП</v>
      </c>
      <c r="C167" s="29" t="str">
        <f>REPT('Прайс-Лист'!C218,1)</f>
        <v>биг/бэг 1000 кг</v>
      </c>
      <c r="D167" s="29" t="str">
        <f>REPT('Прайс-Лист'!D218,1)</f>
        <v>118000</v>
      </c>
      <c r="E167" s="30" t="s">
        <v>153</v>
      </c>
    </row>
    <row r="168" spans="1:5">
      <c r="A168" s="29" t="str">
        <f>REPT('Прайс-Лист'!A219,1)</f>
        <v>Смесь огнеупорная периклазохромитовая</v>
      </c>
      <c r="B168" s="29" t="str">
        <f>REPT('Прайс-Лист'!B219,1)</f>
        <v>СПХ</v>
      </c>
      <c r="C168" s="29" t="str">
        <f>REPT('Прайс-Лист'!C219,1)</f>
        <v>биг/бэг 1000 кг</v>
      </c>
      <c r="D168" s="29" t="str">
        <f>REPT('Прайс-Лист'!D219,1)</f>
        <v>118000</v>
      </c>
      <c r="E168" s="30" t="s">
        <v>153</v>
      </c>
    </row>
    <row r="169" spans="1:5">
      <c r="A169" s="29" t="str">
        <f>REPT('Прайс-Лист'!A220,1)</f>
        <v>Смесь огнеупорная хромитопериклазовая</v>
      </c>
      <c r="B169" s="29" t="str">
        <f>REPT('Прайс-Лист'!B220,1)</f>
        <v>СХП</v>
      </c>
      <c r="C169" s="29" t="str">
        <f>REPT('Прайс-Лист'!C220,1)</f>
        <v>биг/бэг 1000 кг</v>
      </c>
      <c r="D169" s="29" t="str">
        <f>REPT('Прайс-Лист'!D220,1)</f>
        <v>118000</v>
      </c>
      <c r="E169" s="30" t="s">
        <v>153</v>
      </c>
    </row>
    <row r="170" spans="1:5">
      <c r="A170" s="29" t="str">
        <f>REPT('Прайс-Лист'!A221,1)</f>
        <v>Порошок периклазовый электротехнический</v>
      </c>
      <c r="B170" s="29" t="str">
        <f>REPT('Прайс-Лист'!B221,1)</f>
        <v>ППЭ - 88</v>
      </c>
      <c r="C170" s="29" t="str">
        <f>REPT('Прайс-Лист'!C221,1)</f>
        <v>мешок 20кг</v>
      </c>
      <c r="D170" s="29" t="str">
        <f>REPT('Прайс-Лист'!D221,1)</f>
        <v>46400</v>
      </c>
      <c r="E170" s="30" t="s">
        <v>153</v>
      </c>
    </row>
    <row r="171" spans="1:5">
      <c r="A171" s="29" t="str">
        <f>REPT('Прайс-Лист'!A222,1)</f>
        <v>Порошок периклазовый электротехнический</v>
      </c>
      <c r="B171" s="29" t="str">
        <f>REPT('Прайс-Лист'!B222,1)</f>
        <v>ППЭ - 1М</v>
      </c>
      <c r="C171" s="29" t="str">
        <f>REPT('Прайс-Лист'!C222,1)</f>
        <v>мешок 20кг</v>
      </c>
      <c r="D171" s="29" t="str">
        <f>REPT('Прайс-Лист'!D222,1)</f>
        <v>340000</v>
      </c>
      <c r="E171" s="30" t="s">
        <v>153</v>
      </c>
    </row>
    <row r="172" spans="1:5">
      <c r="A172" s="29" t="str">
        <f>REPT('Прайс-Лист'!A223,1)</f>
        <v>Порошок периклазовый электротехнический</v>
      </c>
      <c r="B172" s="29" t="str">
        <f>REPT('Прайс-Лист'!B223,1)</f>
        <v>ППЭ - 1К</v>
      </c>
      <c r="C172" s="29" t="str">
        <f>REPT('Прайс-Лист'!C223,1)</f>
        <v>мешок 20кг</v>
      </c>
      <c r="D172" s="29" t="str">
        <f>REPT('Прайс-Лист'!D223,1)</f>
        <v>320200</v>
      </c>
      <c r="E172" s="30" t="s">
        <v>153</v>
      </c>
    </row>
    <row r="173" spans="1:5">
      <c r="A173" s="29" t="str">
        <f>REPT('Прайс-Лист'!A224,1)</f>
        <v>Порошок периклазовый электротехнический</v>
      </c>
      <c r="B173" s="29" t="str">
        <f>REPT('Прайс-Лист'!B224,1)</f>
        <v>ППЭ - 2М</v>
      </c>
      <c r="C173" s="29" t="str">
        <f>REPT('Прайс-Лист'!C224,1)</f>
        <v>мешок 20кг</v>
      </c>
      <c r="D173" s="29" t="str">
        <f>REPT('Прайс-Лист'!D224,1)</f>
        <v>320800</v>
      </c>
      <c r="E173" s="30" t="s">
        <v>153</v>
      </c>
    </row>
    <row r="174" spans="1:5">
      <c r="A174" s="29" t="str">
        <f>REPT('Прайс-Лист'!A225,1)</f>
        <v>Порошок периклазовый электротехнический</v>
      </c>
      <c r="B174" s="29" t="str">
        <f>REPT('Прайс-Лист'!B225,1)</f>
        <v>ППЭ - 2К</v>
      </c>
      <c r="C174" s="29" t="str">
        <f>REPT('Прайс-Лист'!C225,1)</f>
        <v>мешок 20кг</v>
      </c>
      <c r="D174" s="29" t="str">
        <f>REPT('Прайс-Лист'!D225,1)</f>
        <v>320900</v>
      </c>
      <c r="E174" s="30" t="s">
        <v>153</v>
      </c>
    </row>
    <row r="175" spans="1:5">
      <c r="A175" s="29" t="str">
        <f>REPT('Прайс-Лист'!A226,1)</f>
        <v>Порошок периклазовый электротехнический</v>
      </c>
      <c r="B175" s="29" t="str">
        <f>REPT('Прайс-Лист'!B226,1)</f>
        <v>ППЭ - 3М</v>
      </c>
      <c r="C175" s="29" t="str">
        <f>REPT('Прайс-Лист'!C226,1)</f>
        <v>мешок 20кг</v>
      </c>
      <c r="D175" s="29" t="str">
        <f>REPT('Прайс-Лист'!D226,1)</f>
        <v>320900</v>
      </c>
      <c r="E175" s="30" t="s">
        <v>153</v>
      </c>
    </row>
    <row r="176" spans="1:5" s="108" customFormat="1" ht="15" thickBot="1">
      <c r="A176" s="106" t="str">
        <f>REPT('Прайс-Лист'!A227,1)</f>
        <v>Порошок периклазовый электротехнический</v>
      </c>
      <c r="B176" s="106" t="str">
        <f>REPT('Прайс-Лист'!B227,1)</f>
        <v>ППЭ - 3К</v>
      </c>
      <c r="C176" s="106" t="str">
        <f>REPT('Прайс-Лист'!C227,1)</f>
        <v>мешок 20кг</v>
      </c>
      <c r="D176" s="106" t="str">
        <f>REPT('Прайс-Лист'!D227,1)</f>
        <v>320900</v>
      </c>
      <c r="E176" s="109" t="s">
        <v>153</v>
      </c>
    </row>
    <row r="177" spans="1:5">
      <c r="A177" s="29" t="str">
        <f>REPT('Прайс-Лист'!A232,1)</f>
        <v>Войлок</v>
      </c>
      <c r="B177" s="29" t="str">
        <f>REPT('Прайс-Лист'!B232,1)</f>
        <v>МКРВ - 200</v>
      </c>
      <c r="C177" s="29" t="str">
        <f>REPT('Прайс-Лист'!C232,1)</f>
        <v>(ГОСТ 23619-79)</v>
      </c>
      <c r="D177" s="29" t="str">
        <f>REPT('Прайс-Лист'!D232,1)</f>
        <v>138000</v>
      </c>
      <c r="E177" s="30" t="s">
        <v>153</v>
      </c>
    </row>
    <row r="178" spans="1:5">
      <c r="A178" s="29" t="str">
        <f>REPT('Прайс-Лист'!A233,1)</f>
        <v>Изделие муллитокремнеземистое</v>
      </c>
      <c r="B178" s="29" t="str">
        <f>REPT('Прайс-Лист'!B233,1)</f>
        <v>МКРР - 130</v>
      </c>
      <c r="C178" s="29" t="str">
        <f>REPT('Прайс-Лист'!C233,1)</f>
        <v>(ГОСТ 23619-79)</v>
      </c>
      <c r="D178" s="29" t="str">
        <f>REPT('Прайс-Лист'!D233,1)</f>
        <v>138000</v>
      </c>
      <c r="E178" s="30" t="s">
        <v>153</v>
      </c>
    </row>
    <row r="179" spans="1:5">
      <c r="A179" s="29" t="str">
        <f>REPT('Прайс-Лист'!A234,1)</f>
        <v>Изделие муллитокремнеземистое</v>
      </c>
      <c r="B179" s="29" t="str">
        <f>REPT('Прайс-Лист'!B234,1)</f>
        <v>МКРФ - 100</v>
      </c>
      <c r="C179" s="29" t="str">
        <f>REPT('Прайс-Лист'!C234,1)</f>
        <v>(ГОСТ 23619-79)</v>
      </c>
      <c r="D179" s="29" t="str">
        <f>REPT('Прайс-Лист'!D234,1)</f>
        <v>320000</v>
      </c>
      <c r="E179" s="30" t="s">
        <v>153</v>
      </c>
    </row>
    <row r="180" spans="1:5">
      <c r="A180" s="29" t="str">
        <f>REPT('Прайс-Лист'!A235,1)</f>
        <v>Изделие муллитокремнеземистое</v>
      </c>
      <c r="B180" s="29" t="str">
        <f>REPT('Прайс-Лист'!B235,1)</f>
        <v>МКРВХ - 150</v>
      </c>
      <c r="C180" s="29" t="str">
        <f>REPT('Прайс-Лист'!C235,1)</f>
        <v>(ГОСТ 23619-79)</v>
      </c>
      <c r="D180" s="29" t="str">
        <f>REPT('Прайс-Лист'!D235,1)</f>
        <v>320000</v>
      </c>
      <c r="E180" s="30" t="s">
        <v>153</v>
      </c>
    </row>
    <row r="181" spans="1:5">
      <c r="A181" s="29" t="str">
        <f>REPT('Прайс-Лист'!A236,1)</f>
        <v>Изделие муллитокремнеземистое</v>
      </c>
      <c r="B181" s="29" t="str">
        <f>REPT('Прайс-Лист'!B236,1)</f>
        <v>МКРП - 340</v>
      </c>
      <c r="C181" s="29" t="str">
        <f>REPT('Прайс-Лист'!C236,1)</f>
        <v>600х400х30 (ГОСТ 23619-79)</v>
      </c>
      <c r="D181" s="29" t="str">
        <f>REPT('Прайс-Лист'!F236,1)</f>
        <v>960</v>
      </c>
      <c r="E181" s="30" t="s">
        <v>154</v>
      </c>
    </row>
    <row r="182" spans="1:5" s="108" customFormat="1" ht="15" thickBot="1">
      <c r="A182" s="106" t="str">
        <f>REPT('Прайс-Лист'!A237,1)</f>
        <v>Изделие муллитокремнеземистое</v>
      </c>
      <c r="B182" s="106" t="str">
        <f>REPT('Прайс-Лист'!B237,1)</f>
        <v>МКРП - 340</v>
      </c>
      <c r="C182" s="106" t="str">
        <f>REPT('Прайс-Лист'!C237,1)</f>
        <v>600х400х50 (ГОСТ 23619-79)</v>
      </c>
      <c r="D182" s="106" t="str">
        <f>REPT('Прайс-Лист'!F237,1)</f>
        <v>1040</v>
      </c>
      <c r="E182" s="107" t="s">
        <v>154</v>
      </c>
    </row>
    <row r="183" spans="1:5">
      <c r="A183" s="29" t="str">
        <f>REPT('Прайс-Лист'!A242,1)</f>
        <v>Изделие перлито-цементное</v>
      </c>
      <c r="B183" s="29" t="str">
        <f>REPT('Прайс-Лист'!B242,1)</f>
        <v>Плита ПЦП</v>
      </c>
      <c r="C183" s="29" t="str">
        <f>REPT('Прайс-Лист'!C242,1)</f>
        <v>500х500х50 1м3=80шт</v>
      </c>
      <c r="D183" s="29" t="str">
        <f>REPT('Прайс-Лист'!D242,1)</f>
        <v>49800</v>
      </c>
      <c r="E183" s="30" t="s">
        <v>396</v>
      </c>
    </row>
    <row r="184" spans="1:5">
      <c r="A184" s="29" t="str">
        <f>REPT('Прайс-Лист'!A243,1)</f>
        <v>Изделие шамотно-стекловолокнистое</v>
      </c>
      <c r="B184" s="29" t="str">
        <f>REPT('Прайс-Лист'!B243,1)</f>
        <v>Плита ШВП - 350</v>
      </c>
      <c r="C184" s="29" t="str">
        <f>REPT('Прайс-Лист'!C243,1)</f>
        <v>500х500х100 1м3=40шт</v>
      </c>
      <c r="D184" s="29" t="str">
        <f>REPT('Прайс-Лист'!D243,1)</f>
        <v>98000</v>
      </c>
      <c r="E184" s="30" t="s">
        <v>396</v>
      </c>
    </row>
    <row r="185" spans="1:5">
      <c r="A185" s="29" t="str">
        <f>REPT('Прайс-Лист'!A244,1)</f>
        <v>Песок</v>
      </c>
      <c r="B185" s="29" t="str">
        <f>REPT('Прайс-Лист'!B244,1)</f>
        <v>Песок перлитовый</v>
      </c>
      <c r="C185" s="29" t="str">
        <f>REPT('Прайс-Лист'!C244,1)</f>
        <v>м3</v>
      </c>
      <c r="D185" s="29" t="str">
        <f>REPT('Прайс-Лист'!D244,1)</f>
        <v>5800</v>
      </c>
      <c r="E185" s="30" t="s">
        <v>396</v>
      </c>
    </row>
    <row r="186" spans="1:5">
      <c r="A186" s="29" t="str">
        <f>REPT('Прайс-Лист'!A245,1)</f>
        <v>Известь</v>
      </c>
      <c r="B186" s="29" t="str">
        <f>REPT('Прайс-Лист'!B245,1)</f>
        <v>Гашеная известь</v>
      </c>
      <c r="C186" s="29" t="str">
        <f>REPT('Прайс-Лист'!C245,1)</f>
        <v>мешок 20кг</v>
      </c>
      <c r="D186" s="29" t="str">
        <f>REPT('Прайс-Лист'!D245,1)</f>
        <v>17800</v>
      </c>
      <c r="E186" s="30" t="s">
        <v>153</v>
      </c>
    </row>
    <row r="187" spans="1:5" s="108" customFormat="1" ht="15" thickBot="1">
      <c r="A187" s="106" t="str">
        <f>REPT('Прайс-Лист'!A246,1)</f>
        <v>Известь</v>
      </c>
      <c r="B187" s="106" t="str">
        <f>REPT('Прайс-Лист'!B246,1)</f>
        <v>Не гашеная известь</v>
      </c>
      <c r="C187" s="106" t="str">
        <f>REPT('Прайс-Лист'!C246,1)</f>
        <v>тн</v>
      </c>
      <c r="D187" s="106" t="str">
        <f>REPT('Прайс-Лист'!D246,1)</f>
        <v>9960</v>
      </c>
      <c r="E187" s="107" t="s">
        <v>153</v>
      </c>
    </row>
    <row r="188" spans="1:5">
      <c r="A188" s="29" t="str">
        <f>REPT('Прайс-Лист'!A251,1)</f>
        <v>Изделия глиноземистые</v>
      </c>
      <c r="B188" s="29" t="str">
        <f>REPT('Прайс-Лист'!B251,1)</f>
        <v>Цемент ГЦ-40</v>
      </c>
      <c r="C188" s="29" t="str">
        <f>REPT('Прайс-Лист'!C251,1)</f>
        <v>Пермь-Пашийский мешок 20кг</v>
      </c>
      <c r="D188" s="29" t="str">
        <f>REPT('Прайс-Лист'!D251,1)</f>
        <v>38600</v>
      </c>
      <c r="E188" s="30" t="s">
        <v>153</v>
      </c>
    </row>
    <row r="189" spans="1:5" s="108" customFormat="1" ht="15" thickBot="1">
      <c r="A189" s="106" t="str">
        <f>REPT('Прайс-Лист'!A252,1)</f>
        <v>Изделия глиноземистые</v>
      </c>
      <c r="B189" s="106" t="str">
        <f>REPT('Прайс-Лист'!B252,1)</f>
        <v>ВГМЦ-I-1700</v>
      </c>
      <c r="C189" s="106" t="str">
        <f>REPT('Прайс-Лист'!C252,1)</f>
        <v>мешок 20кг при заказе до 100кг цена 84000 тн</v>
      </c>
      <c r="D189" s="106" t="str">
        <f>REPT('Прайс-Лист'!D252,1)</f>
        <v>89200</v>
      </c>
      <c r="E189" s="107" t="s">
        <v>153</v>
      </c>
    </row>
    <row r="190" spans="1:5">
      <c r="A190" s="29" t="str">
        <f>REPT('Прайс-Лист'!A257,1)</f>
        <v>Изделие асбестовое</v>
      </c>
      <c r="B190" s="29" t="str">
        <f>REPT('Прайс-Лист'!B257,1)</f>
        <v>Асбест А-6-30</v>
      </c>
      <c r="C190" s="29" t="str">
        <f>REPT('Прайс-Лист'!C257,1)</f>
        <v>мешок 50кг</v>
      </c>
      <c r="D190" s="29" t="str">
        <f>REPT('Прайс-Лист'!D257,1)</f>
        <v>36800</v>
      </c>
      <c r="E190" s="30" t="s">
        <v>153</v>
      </c>
    </row>
    <row r="191" spans="1:5">
      <c r="A191" s="29" t="str">
        <f>REPT('Прайс-Лист'!A258,1)</f>
        <v>Изделие асбестовое</v>
      </c>
      <c r="B191" s="29" t="str">
        <f>REPT('Прайс-Лист'!B258,1)</f>
        <v>Асбозурит</v>
      </c>
      <c r="C191" s="29" t="str">
        <f>REPT('Прайс-Лист'!C258,1)</f>
        <v>мешок 25кг ЗАКАЗ - 15 дней</v>
      </c>
      <c r="D191" s="29" t="str">
        <f>REPT('Прайс-Лист'!D258,1)</f>
        <v>86200</v>
      </c>
      <c r="E191" s="30" t="s">
        <v>153</v>
      </c>
    </row>
    <row r="192" spans="1:5">
      <c r="A192" s="29" t="str">
        <f>REPT('Прайс-Лист'!A259,1)</f>
        <v>Изделие асбестовое</v>
      </c>
      <c r="B192" s="29" t="str">
        <f>REPT('Прайс-Лист'!B259,1)</f>
        <v>Шнур ШАП руспушеный</v>
      </c>
      <c r="C192" s="29" t="str">
        <f>REPT('Прайс-Лист'!C259,1)</f>
        <v>бухта/кг</v>
      </c>
      <c r="D192" s="29" t="str">
        <f>REPT('Прайс-Лист'!D259,1)</f>
        <v>146</v>
      </c>
      <c r="E192" s="30" t="s">
        <v>411</v>
      </c>
    </row>
    <row r="193" spans="1:5">
      <c r="A193" s="29" t="str">
        <f>REPT('Прайс-Лист'!A260,1)</f>
        <v>Изделие асбестовое</v>
      </c>
      <c r="B193" s="29" t="str">
        <f>REPT('Прайс-Лист'!B260,1)</f>
        <v>Шнур ШАОН</v>
      </c>
      <c r="C193" s="29" t="str">
        <f>REPT('Прайс-Лист'!C260,1)</f>
        <v>бухта/кг диам.3-6,8,10,12,14,15,16,18,20,22,25,28,30,35,40мм</v>
      </c>
      <c r="D193" s="29" t="str">
        <f>REPT('Прайс-Лист'!D260,1)</f>
        <v>386</v>
      </c>
      <c r="E193" s="30" t="s">
        <v>411</v>
      </c>
    </row>
    <row r="194" spans="1:5">
      <c r="A194" s="29" t="str">
        <f>REPT('Прайс-Лист'!A261,1)</f>
        <v>Изделие асбестовое</v>
      </c>
      <c r="B194" s="29" t="str">
        <f>REPT('Прайс-Лист'!B261,1)</f>
        <v>Асбокартон КАОН</v>
      </c>
      <c r="C194" s="29" t="str">
        <f>REPT('Прайс-Лист'!C261,1)</f>
        <v>800х1000х2 кг</v>
      </c>
      <c r="D194" s="29" t="str">
        <f>REPT('Прайс-Лист'!D261,1)</f>
        <v>128</v>
      </c>
      <c r="E194" s="30" t="s">
        <v>411</v>
      </c>
    </row>
    <row r="195" spans="1:5">
      <c r="A195" s="29" t="str">
        <f>REPT('Прайс-Лист'!A262,1)</f>
        <v>Изделие асбестовое</v>
      </c>
      <c r="B195" s="29" t="str">
        <f>REPT('Прайс-Лист'!B262,1)</f>
        <v>Асбокартон КАОН</v>
      </c>
      <c r="C195" s="29" t="str">
        <f>REPT('Прайс-Лист'!C262,1)</f>
        <v>800х1000х3 кг</v>
      </c>
      <c r="D195" s="29" t="str">
        <f>REPT('Прайс-Лист'!D262,1)</f>
        <v>128</v>
      </c>
      <c r="E195" s="30" t="s">
        <v>411</v>
      </c>
    </row>
    <row r="196" spans="1:5">
      <c r="A196" s="29" t="str">
        <f>REPT('Прайс-Лист'!A263,1)</f>
        <v>Изделие асбестовое</v>
      </c>
      <c r="B196" s="29" t="str">
        <f>REPT('Прайс-Лист'!B263,1)</f>
        <v>Асбокартон КАОН</v>
      </c>
      <c r="C196" s="29" t="str">
        <f>REPT('Прайс-Лист'!C263,1)</f>
        <v>800х1000х5 кг</v>
      </c>
      <c r="D196" s="29" t="str">
        <f>REPT('Прайс-Лист'!D263,1)</f>
        <v>128</v>
      </c>
      <c r="E196" s="30" t="s">
        <v>411</v>
      </c>
    </row>
    <row r="197" spans="1:5">
      <c r="A197" s="29" t="str">
        <f>REPT('Прайс-Лист'!A264,1)</f>
        <v>Изделие асбестовое</v>
      </c>
      <c r="B197" s="29" t="str">
        <f>REPT('Прайс-Лист'!B264,1)</f>
        <v>Асбокартон КАОН</v>
      </c>
      <c r="C197" s="29" t="str">
        <f>REPT('Прайс-Лист'!C264,1)</f>
        <v>800х1000х6 кг</v>
      </c>
      <c r="D197" s="29" t="str">
        <f>REPT('Прайс-Лист'!D264,1)</f>
        <v>128</v>
      </c>
      <c r="E197" s="30" t="s">
        <v>411</v>
      </c>
    </row>
    <row r="198" spans="1:5">
      <c r="A198" s="29" t="str">
        <f>REPT('Прайс-Лист'!A265,1)</f>
        <v>Изделие асбестовое</v>
      </c>
      <c r="B198" s="29" t="str">
        <f>REPT('Прайс-Лист'!B265,1)</f>
        <v>Асбокартон КАОН</v>
      </c>
      <c r="C198" s="29" t="str">
        <f>REPT('Прайс-Лист'!C265,1)</f>
        <v>800х1000х8 кг</v>
      </c>
      <c r="D198" s="29" t="str">
        <f>REPT('Прайс-Лист'!D265,1)</f>
        <v>128</v>
      </c>
      <c r="E198" s="30" t="s">
        <v>411</v>
      </c>
    </row>
    <row r="199" spans="1:5">
      <c r="A199" s="29" t="str">
        <f>REPT('Прайс-Лист'!A266,1)</f>
        <v>Изделие асбестовое</v>
      </c>
      <c r="B199" s="29" t="str">
        <f>REPT('Прайс-Лист'!B266,1)</f>
        <v>Асбокартон КАОН</v>
      </c>
      <c r="C199" s="29" t="str">
        <f>REPT('Прайс-Лист'!C266,1)</f>
        <v>800х1000х10 кг</v>
      </c>
      <c r="D199" s="29" t="str">
        <f>REPT('Прайс-Лист'!D266,1)</f>
        <v>128</v>
      </c>
      <c r="E199" s="30" t="s">
        <v>411</v>
      </c>
    </row>
    <row r="200" spans="1:5" s="108" customFormat="1" ht="15" thickBot="1">
      <c r="A200" s="106" t="str">
        <f>REPT('Прайс-Лист'!A267,1)</f>
        <v>Изделие асбестовое</v>
      </c>
      <c r="B200" s="106" t="str">
        <f>REPT('Прайс-Лист'!B267,1)</f>
        <v>Асботкань АТ-3</v>
      </c>
      <c r="C200" s="106" t="str">
        <f>REPT('Прайс-Лист'!C267,1)</f>
        <v>м2</v>
      </c>
      <c r="D200" s="106" t="str">
        <f>REPT('Прайс-Лист'!D267,1)</f>
        <v>780</v>
      </c>
      <c r="E200" s="107" t="s">
        <v>474</v>
      </c>
    </row>
    <row r="201" spans="1:5">
      <c r="A201" s="29" t="str">
        <f>REPT('Прайс-Лист'!A272,1)</f>
        <v>Изделие огнеупорное для вращающихся печей</v>
      </c>
      <c r="B201" s="29" t="str">
        <f>REPT('Прайс-Лист'!B272,1)</f>
        <v>ШЦУ - 32</v>
      </c>
      <c r="C201" s="29" t="str">
        <f>REPT('Прайс-Лист'!C272,1)</f>
        <v>(ГОСТ 21436-2004)</v>
      </c>
      <c r="D201" s="29" t="str">
        <f>REPT('Прайс-Лист'!D272,1)</f>
        <v>48000</v>
      </c>
      <c r="E201" s="30" t="s">
        <v>153</v>
      </c>
    </row>
    <row r="202" spans="1:5">
      <c r="A202" s="29" t="str">
        <f>REPT('Прайс-Лист'!A273,1)</f>
        <v>Изделие огнеупорное для вращающихся печей</v>
      </c>
      <c r="B202" s="29" t="str">
        <f>REPT('Прайс-Лист'!B273,1)</f>
        <v>ШПД - 39</v>
      </c>
      <c r="C202" s="29" t="str">
        <f>REPT('Прайс-Лист'!C273,1)</f>
        <v>(ГОСТ 21436-2004)</v>
      </c>
      <c r="D202" s="29" t="str">
        <f>REPT('Прайс-Лист'!D273,1)</f>
        <v>48000</v>
      </c>
      <c r="E202" s="30" t="s">
        <v>153</v>
      </c>
    </row>
    <row r="203" spans="1:5" s="108" customFormat="1" ht="15" thickBot="1">
      <c r="A203" s="106" t="str">
        <f>REPT('Прайс-Лист'!A274,1)</f>
        <v>Изделие огнеупорное для вращающихся печей</v>
      </c>
      <c r="B203" s="106" t="str">
        <f>REPT('Прайс-Лист'!B274,1)</f>
        <v>ШКУ - 39</v>
      </c>
      <c r="C203" s="106" t="str">
        <f>REPT('Прайс-Лист'!C274,1)</f>
        <v>(ГОСТ 21436-2004)</v>
      </c>
      <c r="D203" s="106" t="str">
        <f>REPT('Прайс-Лист'!D274,1)</f>
        <v>48000</v>
      </c>
      <c r="E203" s="107" t="s">
        <v>153</v>
      </c>
    </row>
    <row r="204" spans="1:5">
      <c r="A204" s="29" t="str">
        <f>REPT('Прайс-Лист'!A279,1)</f>
        <v xml:space="preserve">Пеностекло (крошка) </v>
      </c>
      <c r="B204" s="29" t="str">
        <f>REPT('Прайс-Лист'!B279,1)</f>
        <v xml:space="preserve">Пеностекло (крошка) </v>
      </c>
      <c r="C204" s="29" t="str">
        <f>REPT('Прайс-Лист'!C279,1)</f>
        <v>биг/бэг 1000 кг</v>
      </c>
      <c r="D204" s="29" t="str">
        <f>REPT('Прайс-Лист'!D279,1)</f>
        <v>24000</v>
      </c>
      <c r="E204" s="30" t="s">
        <v>396</v>
      </c>
    </row>
    <row r="205" spans="1:5">
      <c r="A205" s="29" t="str">
        <f>REPT('Прайс-Лист'!A280,1)</f>
        <v>Цемент</v>
      </c>
      <c r="B205" s="29" t="str">
        <f>REPT('Прайс-Лист'!B280,1)</f>
        <v>Цемент М-400</v>
      </c>
      <c r="C205" s="29" t="str">
        <f>REPT('Прайс-Лист'!C280,1)</f>
        <v>мешок 50кг</v>
      </c>
      <c r="D205" s="29" t="str">
        <f>REPT('Прайс-Лист'!D280,1)</f>
        <v>8200</v>
      </c>
      <c r="E205" s="30" t="s">
        <v>153</v>
      </c>
    </row>
    <row r="206" spans="1:5">
      <c r="A206" s="29" t="str">
        <f>REPT('Прайс-Лист'!A281,1)</f>
        <v>Цемент</v>
      </c>
      <c r="B206" s="29" t="str">
        <f>REPT('Прайс-Лист'!B281,1)</f>
        <v>Цемент М-500</v>
      </c>
      <c r="C206" s="29" t="str">
        <f>REPT('Прайс-Лист'!C281,1)</f>
        <v>мешок 50кг</v>
      </c>
      <c r="D206" s="29" t="str">
        <f>REPT('Прайс-Лист'!D281,1)</f>
        <v>8200</v>
      </c>
      <c r="E206" s="30" t="s">
        <v>153</v>
      </c>
    </row>
    <row r="207" spans="1:5">
      <c r="A207" s="29" t="str">
        <f>REPT('Прайс-Лист'!A282,1)</f>
        <v>Цемент</v>
      </c>
      <c r="B207" s="29" t="str">
        <f>REPT('Прайс-Лист'!B282,1)</f>
        <v>Цемент напрягающий НЦ-20</v>
      </c>
      <c r="C207" s="29" t="str">
        <f>REPT('Прайс-Лист'!C282,1)</f>
        <v>мешок 20кг</v>
      </c>
      <c r="D207" s="29" t="str">
        <f>REPT('Прайс-Лист'!D282,1)</f>
        <v>26200</v>
      </c>
      <c r="E207" s="30" t="s">
        <v>153</v>
      </c>
    </row>
    <row r="208" spans="1:5">
      <c r="A208" s="29" t="str">
        <f>REPT('Прайс-Лист'!A283,1)</f>
        <v>Песок кварцевый</v>
      </c>
      <c r="B208" s="29" t="str">
        <f>REPT('Прайс-Лист'!B283,1)</f>
        <v>Песок кварцевый</v>
      </c>
      <c r="C208" s="29" t="str">
        <f>REPT('Прайс-Лист'!C283,1)</f>
        <v>мешок 50кг</v>
      </c>
      <c r="D208" s="29" t="str">
        <f>REPT('Прайс-Лист'!D283,1)</f>
        <v>8600</v>
      </c>
      <c r="E208" s="30" t="s">
        <v>153</v>
      </c>
    </row>
    <row r="209" spans="1:5">
      <c r="A209" s="29" t="str">
        <f>REPT('Прайс-Лист'!A284,1)</f>
        <v>Кварц пылевидный</v>
      </c>
      <c r="B209" s="29" t="str">
        <f>REPT('Прайс-Лист'!B284,1)</f>
        <v>Кварц пылевидный молотый (маршалит)</v>
      </c>
      <c r="C209" s="29" t="str">
        <f>REPT('Прайс-Лист'!C284,1)</f>
        <v>мешок 50кг</v>
      </c>
      <c r="D209" s="29" t="str">
        <f>REPT('Прайс-Лист'!D284,1)</f>
        <v>13600</v>
      </c>
      <c r="E209" s="30" t="s">
        <v>153</v>
      </c>
    </row>
    <row r="210" spans="1:5">
      <c r="A210" s="29" t="str">
        <f>REPT('Прайс-Лист'!A285,1)</f>
        <v>Аллюмоборфосфатное связующее</v>
      </c>
      <c r="B210" s="29" t="str">
        <f>REPT('Прайс-Лист'!B285,1)</f>
        <v>Аллюмоборфосфатное связующее (АФС марки Б)</v>
      </c>
      <c r="C210" s="29" t="str">
        <f>REPT('Прайс-Лист'!C285,1)</f>
        <v>канистра 34кг</v>
      </c>
      <c r="D210" s="29" t="str">
        <f>REPT('Прайс-Лист'!D285,1)</f>
        <v>420 руб/кг</v>
      </c>
      <c r="E210" s="30" t="s">
        <v>411</v>
      </c>
    </row>
    <row r="211" spans="1:5">
      <c r="A211" s="29" t="str">
        <f>REPT('Прайс-Лист'!A286,1)</f>
        <v>Аллюмоборфосфатное связующее</v>
      </c>
      <c r="B211" s="29" t="str">
        <f>REPT('Прайс-Лист'!B286,1)</f>
        <v>Аллюмохромфосфатное связующее (АФС марки В-1)</v>
      </c>
      <c r="C211" s="29" t="str">
        <f>REPT('Прайс-Лист'!C286,1)</f>
        <v>канистра 34кг</v>
      </c>
      <c r="D211" s="29" t="str">
        <f>REPT('Прайс-Лист'!D286,1)</f>
        <v>420 руб/кг</v>
      </c>
      <c r="E211" s="30" t="s">
        <v>411</v>
      </c>
    </row>
    <row r="212" spans="1:5">
      <c r="A212" s="29" t="str">
        <f>REPT('Прайс-Лист'!A287,1)</f>
        <v>Стекло жидкое</v>
      </c>
      <c r="B212" s="29" t="str">
        <f>REPT('Прайс-Лист'!B287,1)</f>
        <v>Стекло жидкое натриевое</v>
      </c>
      <c r="C212" s="29" t="str">
        <f>REPT('Прайс-Лист'!C287,1)</f>
        <v>канистра 15кг</v>
      </c>
      <c r="D212" s="29" t="str">
        <f>REPT('Прайс-Лист'!D287,1)</f>
        <v xml:space="preserve">920 руб  </v>
      </c>
      <c r="E212" s="30" t="s">
        <v>411</v>
      </c>
    </row>
    <row r="213" spans="1:5">
      <c r="A213" s="29" t="str">
        <f>REPT('Прайс-Лист'!A288,1)</f>
        <v>Клей</v>
      </c>
      <c r="B213" s="29" t="str">
        <f>REPT('Прайс-Лист'!B288,1)</f>
        <v>Клей-мертель "Гамма-муллит"</v>
      </c>
      <c r="C213" s="29" t="str">
        <f>REPT('Прайс-Лист'!C288,1)</f>
        <v>ведро 8 кг</v>
      </c>
      <c r="D213" s="29" t="str">
        <f>REPT('Прайс-Лист'!D288,1)</f>
        <v>3800 руб./уп</v>
      </c>
      <c r="E213" s="30" t="s">
        <v>533</v>
      </c>
    </row>
    <row r="214" spans="1:5">
      <c r="A214" s="29" t="str">
        <f>REPT('Прайс-Лист'!A289,1)</f>
        <v>Клей</v>
      </c>
      <c r="B214" s="29" t="str">
        <f>REPT('Прайс-Лист'!B289,1)</f>
        <v xml:space="preserve">Клей КОЗ-3 </v>
      </c>
      <c r="C214" s="29" t="str">
        <f>REPT('Прайс-Лист'!C289,1)</f>
        <v>канистра 20кг</v>
      </c>
      <c r="D214" s="29" t="str">
        <f>REPT('Прайс-Лист'!D289,1)</f>
        <v>980 руб./кг</v>
      </c>
      <c r="E214" s="30" t="s">
        <v>411</v>
      </c>
    </row>
    <row r="215" spans="1:5">
      <c r="A215" s="29" t="str">
        <f>REPT('Прайс-Лист'!A290,1)</f>
        <v>Клей</v>
      </c>
      <c r="B215" s="29" t="str">
        <f>REPT('Прайс-Лист'!B290,1)</f>
        <v xml:space="preserve">Клей огнеупорный (Динас) 2-х компонентный  </v>
      </c>
      <c r="C215" s="29" t="str">
        <f>REPT('Прайс-Лист'!C290,1)</f>
        <v>ведро 10кг</v>
      </c>
      <c r="D215" s="29" t="str">
        <f>REPT('Прайс-Лист'!D290,1)</f>
        <v>3800 руб./уп</v>
      </c>
      <c r="E215" s="30" t="s">
        <v>533</v>
      </c>
    </row>
    <row r="216" spans="1:5">
      <c r="A216" s="29" t="str">
        <f>REPT('Прайс-Лист'!A291,1)</f>
        <v>Клей</v>
      </c>
      <c r="B216" s="29" t="str">
        <f>REPT('Прайс-Лист'!B291,1)</f>
        <v>Клей СО-40 для теплоизоляции (Avantex)</v>
      </c>
      <c r="C216" s="29" t="str">
        <f>REPT('Прайс-Лист'!C291,1)</f>
        <v>канистра 30кг</v>
      </c>
      <c r="D216" s="29" t="str">
        <f>REPT('Прайс-Лист'!D291,1)</f>
        <v>1200 руб./кг.</v>
      </c>
      <c r="E216" s="30" t="s">
        <v>411</v>
      </c>
    </row>
    <row r="217" spans="1:5">
      <c r="A217" s="29" t="str">
        <f>REPT('Прайс-Лист'!A292,1)</f>
        <v>Клей</v>
      </c>
      <c r="B217" s="29" t="str">
        <f>REPT('Прайс-Лист'!B292,1)</f>
        <v>Клей КВ-1200 (универсальный огнеупорный) 2-х компонентный</v>
      </c>
      <c r="C217" s="29" t="str">
        <f>REPT('Прайс-Лист'!C292,1)</f>
        <v>2 ведра по 5кг</v>
      </c>
      <c r="D217" s="29" t="str">
        <f>REPT('Прайс-Лист'!D292,1)</f>
        <v>2650 руб./уп</v>
      </c>
      <c r="E217" s="30" t="s">
        <v>533</v>
      </c>
    </row>
    <row r="218" spans="1:5">
      <c r="A218" s="29" t="str">
        <f>REPT('Прайс-Лист'!A293,1)</f>
        <v>Кирпич Витебский</v>
      </c>
      <c r="B218" s="29" t="str">
        <f>REPT('Прайс-Лист'!B293,1)</f>
        <v>Кирпич Витебский М-200 (1 цех)</v>
      </c>
      <c r="C218" s="29" t="str">
        <f>REPT('Прайс-Лист'!C293,1)</f>
        <v>шт</v>
      </c>
      <c r="D218" s="29" t="str">
        <f>REPT('Прайс-Лист'!D293,1)</f>
        <v>32 руб/шт.</v>
      </c>
      <c r="E218" s="30" t="s">
        <v>154</v>
      </c>
    </row>
    <row r="219" spans="1:5">
      <c r="A219" s="29" t="str">
        <f>REPT('Прайс-Лист'!A294,1)</f>
        <v>Сетка рабица</v>
      </c>
      <c r="B219" s="29" t="str">
        <f>REPT('Прайс-Лист'!B294,1)</f>
        <v>Сетка рабица 20х20х1.3 оцинк.</v>
      </c>
      <c r="C219" s="29" t="str">
        <f>REPT('Прайс-Лист'!C294,1)</f>
        <v>рулон 15м2</v>
      </c>
      <c r="D219" s="29" t="str">
        <f>REPT('Прайс-Лист'!D294,1)</f>
        <v>198 руб/м2</v>
      </c>
      <c r="E219" s="30" t="s">
        <v>474</v>
      </c>
    </row>
    <row r="220" spans="1:5">
      <c r="A220" s="29" t="str">
        <f>REPT('Прайс-Лист'!A295,1)</f>
        <v>Мешковина</v>
      </c>
      <c r="B220" s="29" t="str">
        <f>REPT('Прайс-Лист'!B295,1)</f>
        <v>Мешковина</v>
      </c>
      <c r="C220" s="29" t="str">
        <f>REPT('Прайс-Лист'!C295,1)</f>
        <v>рулоон 52м2</v>
      </c>
      <c r="D220" s="29" t="str">
        <f>REPT('Прайс-Лист'!D295,1)</f>
        <v>78 руб/м2</v>
      </c>
      <c r="E220" s="30" t="s">
        <v>474</v>
      </c>
    </row>
    <row r="221" spans="1:5">
      <c r="A221" s="29" t="str">
        <f>REPT('Прайс-Лист'!A296,1)</f>
        <v>Антипригарный огнеупорный состав</v>
      </c>
      <c r="B221" s="29" t="str">
        <f>REPT('Прайс-Лист'!B296,1)</f>
        <v>АОС (Антипригарный огнеупорный состав)</v>
      </c>
      <c r="C221" s="29" t="str">
        <f>REPT('Прайс-Лист'!C296,1)</f>
        <v>кг</v>
      </c>
      <c r="D221" s="29" t="str">
        <f>REPT('Прайс-Лист'!D296,1)</f>
        <v>380 руб/кг</v>
      </c>
      <c r="E221" s="30" t="s">
        <v>411</v>
      </c>
    </row>
    <row r="222" spans="1:5">
      <c r="A222" s="29" t="str">
        <f>REPT('Прайс-Лист'!A297,1)</f>
        <v>Пропитка огнезащитная</v>
      </c>
      <c r="B222" s="29" t="str">
        <f>REPT('Прайс-Лист'!B297,1)</f>
        <v>Пропитка огнезащитная</v>
      </c>
      <c r="C222" s="29" t="str">
        <f>REPT('Прайс-Лист'!C297,1)</f>
        <v>упаковка</v>
      </c>
      <c r="D222" s="29" t="str">
        <f>REPT('Прайс-Лист'!D297,1)</f>
        <v>3200 руб/уп</v>
      </c>
      <c r="E222" s="30" t="s">
        <v>533</v>
      </c>
    </row>
    <row r="223" spans="1:5">
      <c r="A223" s="29" t="str">
        <f>REPT('Прайс-Лист'!A298,1)</f>
        <v>Шпат плавиковый</v>
      </c>
      <c r="B223" s="29" t="str">
        <f>REPT('Прайс-Лист'!B298,1)</f>
        <v>Шпат плавиковый ФК-75</v>
      </c>
      <c r="C223" s="29" t="str">
        <f>REPT('Прайс-Лист'!C298,1)</f>
        <v>тн</v>
      </c>
      <c r="D223" s="29" t="str">
        <f>REPT('Прайс-Лист'!D298,1)</f>
        <v>35000 руб/тн</v>
      </c>
      <c r="E223" s="30" t="s">
        <v>153</v>
      </c>
    </row>
    <row r="224" spans="1:5">
      <c r="A224" s="29" t="str">
        <f>REPT('Прайс-Лист'!A299,1)</f>
        <v>Шпат плавиковый</v>
      </c>
      <c r="B224" s="29" t="str">
        <f>REPT('Прайс-Лист'!B299,1)</f>
        <v>Шпат плавиковый ФК-85</v>
      </c>
      <c r="C224" s="29" t="str">
        <f>REPT('Прайс-Лист'!C299,1)</f>
        <v>тн</v>
      </c>
      <c r="D224" s="29" t="str">
        <f>REPT('Прайс-Лист'!D299,1)</f>
        <v>35000 руб/тн</v>
      </c>
      <c r="E224" s="30" t="s">
        <v>153</v>
      </c>
    </row>
    <row r="225" spans="1:5">
      <c r="A225" s="29" t="str">
        <f>REPT('Прайс-Лист'!A300,1)</f>
        <v>Шпат плавиковый</v>
      </c>
      <c r="B225" s="29" t="str">
        <f>REPT('Прайс-Лист'!B300,1)</f>
        <v>Шпат плавиковый ФК-95</v>
      </c>
      <c r="C225" s="29" t="str">
        <f>REPT('Прайс-Лист'!C300,1)</f>
        <v>тн</v>
      </c>
      <c r="D225" s="29" t="str">
        <f>REPT('Прайс-Лист'!D300,1)</f>
        <v>35000 руб/тн</v>
      </c>
      <c r="E225" s="30" t="s">
        <v>153</v>
      </c>
    </row>
    <row r="226" spans="1:5">
      <c r="A226" s="29" t="str">
        <f>REPT('Прайс-Лист'!A301,1)</f>
        <v>Противогололедный реагент</v>
      </c>
      <c r="B226" s="29" t="str">
        <f>REPT('Прайс-Лист'!B301,1)</f>
        <v>Противогололедные реагенты (ХКНМ)  "Айсмелт"</v>
      </c>
      <c r="C226" s="29" t="str">
        <f>REPT('Прайс-Лист'!C301,1)</f>
        <v>мешок 25кг</v>
      </c>
      <c r="D226" s="29" t="str">
        <f>REPT('Прайс-Лист'!D301,1)</f>
        <v>договорная</v>
      </c>
      <c r="E226" s="30" t="s">
        <v>154</v>
      </c>
    </row>
    <row r="227" spans="1:5">
      <c r="A227" s="29" t="str">
        <f>REPT('Прайс-Лист'!A302,1)</f>
        <v>Противогололедный реагент</v>
      </c>
      <c r="B227" s="29" t="str">
        <f>REPT('Прайс-Лист'!B302,1)</f>
        <v>Противогололедные реагенты "ГЕОДОР-1"</v>
      </c>
      <c r="C227" s="29" t="str">
        <f>REPT('Прайс-Лист'!C302,1)</f>
        <v>мешок 25кг</v>
      </c>
      <c r="D227" s="29" t="str">
        <f>REPT('Прайс-Лист'!D302,1)</f>
        <v>договорная</v>
      </c>
      <c r="E227" s="30" t="s">
        <v>154</v>
      </c>
    </row>
    <row r="228" spans="1:5">
      <c r="A228" s="29" t="str">
        <f>REPT('Прайс-Лист'!A303,1)</f>
        <v>Соль техническая</v>
      </c>
      <c r="B228" s="29" t="str">
        <f>REPT('Прайс-Лист'!B303,1)</f>
        <v>Соль техническая</v>
      </c>
      <c r="C228" s="29" t="str">
        <f>REPT('Прайс-Лист'!C303,1)</f>
        <v>мешок 25кг</v>
      </c>
      <c r="D228" s="29" t="str">
        <f>REPT('Прайс-Лист'!D303,1)</f>
        <v>договорная</v>
      </c>
      <c r="E228" s="30" t="s">
        <v>154</v>
      </c>
    </row>
    <row r="229" spans="1:5">
      <c r="A229" s="29" t="str">
        <f>REPT('Прайс-Лист'!A304,1)</f>
        <v>Крошка гранитная</v>
      </c>
      <c r="B229" s="29" t="str">
        <f>REPT('Прайс-Лист'!B304,1)</f>
        <v>Крошка гранитная для посыпки дорог</v>
      </c>
      <c r="C229" s="29" t="str">
        <f>REPT('Прайс-Лист'!C304,1)</f>
        <v>мешок 25кг</v>
      </c>
      <c r="D229" s="29" t="str">
        <f>REPT('Прайс-Лист'!D304,1)</f>
        <v>договорная</v>
      </c>
      <c r="E229" s="30" t="s">
        <v>154</v>
      </c>
    </row>
    <row r="230" spans="1:5">
      <c r="A230" s="29" t="str">
        <f>REPT('Прайс-Лист'!A305,1)</f>
        <v xml:space="preserve">Тележка разбрасыватель реагентов </v>
      </c>
      <c r="B230" s="29" t="str">
        <f>REPT('Прайс-Лист'!B305,1)</f>
        <v xml:space="preserve">Тележка разбрасыватель для реагентов </v>
      </c>
      <c r="C230" s="29" t="str">
        <f>REPT('Прайс-Лист'!C305,1)</f>
        <v>шт</v>
      </c>
      <c r="D230" s="29" t="str">
        <f>REPT('Прайс-Лист'!D305,1)</f>
        <v>5800</v>
      </c>
      <c r="E230" s="30" t="s">
        <v>154</v>
      </c>
    </row>
  </sheetData>
  <sheetProtection algorithmName="SHA-512" hashValue="EnUWQ/4sVb3MSHzeBB/MEdSCoki3BJMvjQ9m/uHWGk3qUrCP1pXLQyyN6lZoGc7IIVUzy2eCKQAb2f34FRrDcg==" saltValue="tBjqSaSTXsdB/ilvJwiFEw==" spinCount="100000" sheet="1" scenarios="1" selectLockedCells="1" selectUnlockedCells="1"/>
  <pageMargins left="0.75" right="0.75" top="1.2958333333333334" bottom="1.2958333333333334" header="0.51180555555555551" footer="0.51180555555555551"/>
  <pageSetup paperSize="9" firstPageNumber="0" pageOrder="overThenDown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</vt:lpstr>
      <vt:lpstr>cash</vt:lpstr>
      <vt:lpstr>Яндекс-Прайс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Microsoft Office User</cp:lastModifiedBy>
  <cp:lastPrinted>2019-04-16T07:38:11Z</cp:lastPrinted>
  <dcterms:created xsi:type="dcterms:W3CDTF">2016-09-13T09:07:38Z</dcterms:created>
  <dcterms:modified xsi:type="dcterms:W3CDTF">2019-10-04T04:33:28Z</dcterms:modified>
</cp:coreProperties>
</file>